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10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п" sheetId="9" r:id="rId9"/>
    <sheet name="вер" sheetId="10" r:id="rId10"/>
    <sheet name="жовт" sheetId="11" r:id="rId11"/>
  </sheets>
  <definedNames>
    <definedName name="_xlnm.Print_Area" localSheetId="3">'бер'!$A$1:$AG$99</definedName>
    <definedName name="_xlnm.Print_Area" localSheetId="9">'вер'!$A$1:$AG$99</definedName>
    <definedName name="_xlnm.Print_Area" localSheetId="10">'жовт'!$A$1:$AG$99</definedName>
    <definedName name="_xlnm.Print_Area" localSheetId="4">'квіт'!$A$1:$AG$99</definedName>
    <definedName name="_xlnm.Print_Area" localSheetId="7">'лип'!$A$1:$AG$99</definedName>
    <definedName name="_xlnm.Print_Area" localSheetId="2">'лют'!$A$1:$AG$99</definedName>
    <definedName name="_xlnm.Print_Area" localSheetId="8">'серп'!$A$1:$AG$99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  <definedName name="_xlnm.Print_Area" localSheetId="6">'черв'!$A$1:$AG$99</definedName>
  </definedNames>
  <calcPr fullCalcOnLoad="1"/>
</workbook>
</file>

<file path=xl/sharedStrings.xml><?xml version="1.0" encoding="utf-8"?>
<sst xmlns="http://schemas.openxmlformats.org/spreadsheetml/2006/main" count="1144" uniqueCount="74">
  <si>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</si>
  <si>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</si>
  <si>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</si>
  <si>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</si>
  <si>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</si>
  <si>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</si>
  <si>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</si>
  <si>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</si>
  <si>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</si>
  <si>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</si>
  <si>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</si>
  <si>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</si>
  <si>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</si>
  <si>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</si>
  <si>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</si>
  <si>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</si>
  <si>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</si>
  <si>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</si>
  <si>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</si>
  <si>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</si>
  <si>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</si>
  <si>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</si>
  <si>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</si>
  <si>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</si>
  <si>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</si>
  <si>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</si>
  <si>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</si>
  <si>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</si>
  <si>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</si>
  <si>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</si>
  <si>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</si>
  <si>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</si>
  <si>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</si>
  <si>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</si>
  <si>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</si>
  <si>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</si>
  <si>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</si>
  <si>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</si>
  <si>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</si>
  <si>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</si>
  <si>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</si>
  <si>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</si>
  <si>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</si>
  <si>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</si>
  <si>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</si>
  <si>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</si>
  <si>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</si>
  <si>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</si>
  <si>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</si>
  <si>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</si>
  <si>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</si>
  <si>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</si>
  <si>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</si>
  <si>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</si>
  <si>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</si>
  <si>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</si>
  <si>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</si>
  <si>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</si>
  <si>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</si>
  <si>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</si>
  <si>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</si>
  <si>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</si>
  <si>
    <t>по міському бюджету м.Черкаси у ЧЕРВНІ 2016 р.</t>
  </si>
  <si>
    <t>надійшло доходів/план видатків
 на червень</t>
  </si>
  <si>
    <t>по міському бюджету м.Черкаси у ЛИПНІ 2016 р.</t>
  </si>
  <si>
    <t>надійшло доходів/план видатків
 на липень</t>
  </si>
  <si>
    <t>по міському бюджету м.Черкаси у СЕРПНІ 2016 р.</t>
  </si>
  <si>
    <t>надійшло доходів/план видатків
 на серпень</t>
  </si>
  <si>
    <t>надійшло доходів/план видатків
 на вересень</t>
  </si>
  <si>
    <t>по міському бюджету м.Черкаси у ВЕРЕСНІ 2016 р.</t>
  </si>
  <si>
    <t xml:space="preserve">Соц.захист </t>
  </si>
  <si>
    <t>по міському бюджету м.Черкаси у ЖОВТНІ 2016 р.</t>
  </si>
  <si>
    <t>надійшло доходів/план видатків
 на жовтень</t>
  </si>
  <si>
    <t>Субвенція обласному бюджету (250380)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</si>
</sst>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7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68</v>
      </c>
      <c r="C4" s="9" t="s">
        <v>19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17858.1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82461.49999999999</v>
      </c>
      <c r="C8" s="40">
        <v>86959.5</v>
      </c>
      <c r="D8" s="43">
        <v>3902.6</v>
      </c>
      <c r="E8" s="55">
        <v>4797.8</v>
      </c>
      <c r="F8" s="55">
        <v>5778.7</v>
      </c>
      <c r="G8" s="55">
        <v>2594</v>
      </c>
      <c r="H8" s="55">
        <v>3927.5</v>
      </c>
      <c r="I8" s="55">
        <v>6168.1</v>
      </c>
      <c r="J8" s="56">
        <v>2204.9</v>
      </c>
      <c r="K8" s="55">
        <v>1861.8</v>
      </c>
      <c r="L8" s="55">
        <v>996.3</v>
      </c>
      <c r="M8" s="55">
        <v>1294.5</v>
      </c>
      <c r="N8" s="55">
        <v>2412.5</v>
      </c>
      <c r="O8" s="55">
        <v>4284.3</v>
      </c>
      <c r="P8" s="55">
        <v>3977.6</v>
      </c>
      <c r="Q8" s="55">
        <v>2268.5</v>
      </c>
      <c r="R8" s="55">
        <v>2724.7</v>
      </c>
      <c r="S8" s="57">
        <v>2710</v>
      </c>
      <c r="T8" s="57">
        <v>3619.2</v>
      </c>
      <c r="U8" s="55">
        <v>3547.4</v>
      </c>
      <c r="V8" s="55">
        <v>3637.3</v>
      </c>
      <c r="W8" s="55">
        <v>2510.2</v>
      </c>
      <c r="X8" s="56">
        <v>6835.7</v>
      </c>
      <c r="Y8" s="56">
        <v>10407.9</v>
      </c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136141</v>
      </c>
      <c r="C9" s="24">
        <f t="shared" si="0"/>
        <v>62406.1</v>
      </c>
      <c r="D9" s="24">
        <f t="shared" si="0"/>
        <v>3902.5999999999995</v>
      </c>
      <c r="E9" s="24">
        <f t="shared" si="0"/>
        <v>117.4</v>
      </c>
      <c r="F9" s="24">
        <f t="shared" si="0"/>
        <v>5939.4</v>
      </c>
      <c r="G9" s="24">
        <f t="shared" si="0"/>
        <v>2596.8</v>
      </c>
      <c r="H9" s="24">
        <f t="shared" si="0"/>
        <v>3982.5</v>
      </c>
      <c r="I9" s="24">
        <f t="shared" si="0"/>
        <v>6193.9</v>
      </c>
      <c r="J9" s="24">
        <f t="shared" si="0"/>
        <v>2204.9</v>
      </c>
      <c r="K9" s="24">
        <f t="shared" si="0"/>
        <v>16113.4</v>
      </c>
      <c r="L9" s="24">
        <f t="shared" si="0"/>
        <v>7638.900000000001</v>
      </c>
      <c r="M9" s="24">
        <f t="shared" si="0"/>
        <v>1397</v>
      </c>
      <c r="N9" s="24">
        <f t="shared" si="0"/>
        <v>2412.5</v>
      </c>
      <c r="O9" s="24">
        <f t="shared" si="0"/>
        <v>4295.9</v>
      </c>
      <c r="P9" s="24">
        <f t="shared" si="0"/>
        <v>4060.4</v>
      </c>
      <c r="Q9" s="24">
        <f t="shared" si="0"/>
        <v>3096.1</v>
      </c>
      <c r="R9" s="24">
        <f t="shared" si="0"/>
        <v>2728.2</v>
      </c>
      <c r="S9" s="24">
        <f t="shared" si="0"/>
        <v>2718</v>
      </c>
      <c r="T9" s="24">
        <f t="shared" si="0"/>
        <v>3774.6</v>
      </c>
      <c r="U9" s="24">
        <f t="shared" si="0"/>
        <v>15944.1</v>
      </c>
      <c r="V9" s="24">
        <f t="shared" si="0"/>
        <v>13993.5</v>
      </c>
      <c r="W9" s="24">
        <f t="shared" si="0"/>
        <v>2517.2</v>
      </c>
      <c r="X9" s="24">
        <f t="shared" si="0"/>
        <v>6835.700000000001</v>
      </c>
      <c r="Y9" s="24">
        <f t="shared" si="0"/>
        <v>10407.9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122870.90000000002</v>
      </c>
      <c r="AG9" s="50">
        <f>AG10+AG15+AG24+AG33+AG47+AG52+AG54+AG61+AG62+AG71+AG72+AG76+AG88+AG81+AG83+AG82+AG69+AG89+AG91+AG90+AG70+AG40+AG92</f>
        <v>75676.19999999998</v>
      </c>
      <c r="AH9" s="49"/>
      <c r="AI9" s="49"/>
    </row>
    <row r="10" spans="1:33" ht="15.75">
      <c r="A10" s="4" t="s">
        <v>4</v>
      </c>
      <c r="B10" s="22">
        <v>4923.9</v>
      </c>
      <c r="C10" s="22">
        <v>3639.7</v>
      </c>
      <c r="D10" s="22">
        <v>22.9</v>
      </c>
      <c r="E10" s="22"/>
      <c r="F10" s="22">
        <v>173.2</v>
      </c>
      <c r="G10" s="22">
        <v>20.8</v>
      </c>
      <c r="H10" s="22">
        <v>50.1</v>
      </c>
      <c r="I10" s="22">
        <v>73.8</v>
      </c>
      <c r="J10" s="25">
        <v>9.3</v>
      </c>
      <c r="K10" s="22">
        <v>157.2</v>
      </c>
      <c r="L10" s="22">
        <v>630.6</v>
      </c>
      <c r="M10" s="22">
        <v>619.8</v>
      </c>
      <c r="N10" s="22">
        <v>16.8</v>
      </c>
      <c r="O10" s="27">
        <v>19.4</v>
      </c>
      <c r="P10" s="22">
        <v>48.8</v>
      </c>
      <c r="Q10" s="22">
        <v>11.8</v>
      </c>
      <c r="R10" s="22">
        <v>4.5</v>
      </c>
      <c r="S10" s="26">
        <v>31.3</v>
      </c>
      <c r="T10" s="26">
        <v>3.2</v>
      </c>
      <c r="U10" s="26">
        <v>36</v>
      </c>
      <c r="V10" s="26">
        <v>754.3</v>
      </c>
      <c r="W10" s="26">
        <v>14</v>
      </c>
      <c r="X10" s="22">
        <v>1866.4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4564.200000000001</v>
      </c>
      <c r="AG10" s="27">
        <f>B10+C10-AF10</f>
        <v>3999.399999999998</v>
      </c>
    </row>
    <row r="11" spans="1:33" ht="15.75">
      <c r="A11" s="3" t="s">
        <v>5</v>
      </c>
      <c r="B11" s="22">
        <v>3881.5</v>
      </c>
      <c r="C11" s="22">
        <v>2161.9</v>
      </c>
      <c r="D11" s="22">
        <v>6.3</v>
      </c>
      <c r="E11" s="22"/>
      <c r="F11" s="22"/>
      <c r="G11" s="22"/>
      <c r="H11" s="22">
        <v>28.3</v>
      </c>
      <c r="I11" s="22">
        <v>70</v>
      </c>
      <c r="J11" s="26">
        <v>9.1</v>
      </c>
      <c r="K11" s="22">
        <v>128.5</v>
      </c>
      <c r="L11" s="22">
        <v>614.6</v>
      </c>
      <c r="M11" s="22">
        <v>569.2</v>
      </c>
      <c r="N11" s="22">
        <v>16.1</v>
      </c>
      <c r="O11" s="27"/>
      <c r="P11" s="22">
        <v>1.9</v>
      </c>
      <c r="Q11" s="22">
        <v>11.2</v>
      </c>
      <c r="R11" s="22">
        <v>2.4</v>
      </c>
      <c r="S11" s="26">
        <v>26.3</v>
      </c>
      <c r="T11" s="26"/>
      <c r="U11" s="26"/>
      <c r="V11" s="26">
        <v>683.5</v>
      </c>
      <c r="W11" s="26">
        <v>6.9</v>
      </c>
      <c r="X11" s="22">
        <v>1760.8</v>
      </c>
      <c r="Y11" s="26"/>
      <c r="Z11" s="26"/>
      <c r="AA11" s="26"/>
      <c r="AB11" s="22"/>
      <c r="AC11" s="22"/>
      <c r="AD11" s="22"/>
      <c r="AE11" s="22"/>
      <c r="AF11" s="22">
        <f t="shared" si="1"/>
        <v>3935.1000000000004</v>
      </c>
      <c r="AG11" s="27">
        <f>B11+C11-AF11</f>
        <v>2108.2999999999993</v>
      </c>
    </row>
    <row r="12" spans="1:33" ht="15.75">
      <c r="A12" s="3" t="s">
        <v>2</v>
      </c>
      <c r="B12" s="36">
        <v>79.1</v>
      </c>
      <c r="C12" s="22">
        <v>180.1</v>
      </c>
      <c r="D12" s="22">
        <v>12.6</v>
      </c>
      <c r="E12" s="22"/>
      <c r="F12" s="22">
        <v>23.9</v>
      </c>
      <c r="G12" s="22">
        <v>20.8</v>
      </c>
      <c r="H12" s="22"/>
      <c r="I12" s="22">
        <v>0.8</v>
      </c>
      <c r="J12" s="26"/>
      <c r="K12" s="22">
        <v>3.9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30.4</v>
      </c>
      <c r="V12" s="26">
        <v>0.4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92.8</v>
      </c>
      <c r="AG12" s="27">
        <f>B12+C12-AF12</f>
        <v>166.39999999999998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963.2999999999996</v>
      </c>
      <c r="C14" s="22">
        <f t="shared" si="2"/>
        <v>1297.6999999999998</v>
      </c>
      <c r="D14" s="22">
        <f t="shared" si="2"/>
        <v>3.9999999999999982</v>
      </c>
      <c r="E14" s="22">
        <f t="shared" si="2"/>
        <v>0</v>
      </c>
      <c r="F14" s="22">
        <f t="shared" si="2"/>
        <v>149.29999999999998</v>
      </c>
      <c r="G14" s="22">
        <f t="shared" si="2"/>
        <v>0</v>
      </c>
      <c r="H14" s="22">
        <f t="shared" si="2"/>
        <v>21.8</v>
      </c>
      <c r="I14" s="22">
        <f t="shared" si="2"/>
        <v>2.9999999999999973</v>
      </c>
      <c r="J14" s="22">
        <f t="shared" si="2"/>
        <v>0.20000000000000107</v>
      </c>
      <c r="K14" s="22">
        <f t="shared" si="2"/>
        <v>24.79999999999999</v>
      </c>
      <c r="L14" s="22">
        <f t="shared" si="2"/>
        <v>16</v>
      </c>
      <c r="M14" s="22">
        <f t="shared" si="2"/>
        <v>50.59999999999991</v>
      </c>
      <c r="N14" s="22">
        <f t="shared" si="2"/>
        <v>0.6999999999999993</v>
      </c>
      <c r="O14" s="22">
        <f t="shared" si="2"/>
        <v>19.4</v>
      </c>
      <c r="P14" s="22">
        <f t="shared" si="2"/>
        <v>46.9</v>
      </c>
      <c r="Q14" s="22">
        <f t="shared" si="2"/>
        <v>0.6000000000000014</v>
      </c>
      <c r="R14" s="22">
        <f t="shared" si="2"/>
        <v>2.1</v>
      </c>
      <c r="S14" s="22">
        <f t="shared" si="2"/>
        <v>5</v>
      </c>
      <c r="T14" s="22">
        <f t="shared" si="2"/>
        <v>3.2</v>
      </c>
      <c r="U14" s="22">
        <f t="shared" si="2"/>
        <v>5.600000000000001</v>
      </c>
      <c r="V14" s="22">
        <f t="shared" si="2"/>
        <v>70.39999999999995</v>
      </c>
      <c r="W14" s="22">
        <f t="shared" si="2"/>
        <v>7.1</v>
      </c>
      <c r="X14" s="22">
        <f t="shared" si="2"/>
        <v>105.60000000000014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536.3</v>
      </c>
      <c r="AG14" s="27">
        <f>AG10-AG11-AG12-AG13</f>
        <v>1724.6999999999985</v>
      </c>
    </row>
    <row r="15" spans="1:33" ht="15" customHeight="1">
      <c r="A15" s="4" t="s">
        <v>6</v>
      </c>
      <c r="B15" s="22">
        <f>34109.6+1236.6</f>
        <v>35346.2</v>
      </c>
      <c r="C15" s="22">
        <v>23490.5</v>
      </c>
      <c r="D15" s="44"/>
      <c r="E15" s="44">
        <v>58.8</v>
      </c>
      <c r="F15" s="22">
        <v>336.6</v>
      </c>
      <c r="G15" s="22">
        <v>2.1</v>
      </c>
      <c r="H15" s="22">
        <v>8.9</v>
      </c>
      <c r="I15" s="22">
        <v>280</v>
      </c>
      <c r="J15" s="26"/>
      <c r="K15" s="22">
        <v>11704.8</v>
      </c>
      <c r="L15" s="22">
        <v>125.6</v>
      </c>
      <c r="M15" s="22">
        <v>58.7</v>
      </c>
      <c r="N15" s="22"/>
      <c r="O15" s="27">
        <v>382.5</v>
      </c>
      <c r="P15" s="22">
        <v>147.7</v>
      </c>
      <c r="Q15" s="27"/>
      <c r="R15" s="22"/>
      <c r="S15" s="26">
        <v>519.1</v>
      </c>
      <c r="T15" s="26">
        <v>967</v>
      </c>
      <c r="U15" s="26">
        <v>6414</v>
      </c>
      <c r="V15" s="26">
        <v>7849</v>
      </c>
      <c r="W15" s="26">
        <v>734.9</v>
      </c>
      <c r="X15" s="22">
        <v>489</v>
      </c>
      <c r="Y15" s="26"/>
      <c r="Z15" s="26"/>
      <c r="AA15" s="26"/>
      <c r="AB15" s="22"/>
      <c r="AC15" s="22"/>
      <c r="AD15" s="22"/>
      <c r="AE15" s="22"/>
      <c r="AF15" s="27">
        <f t="shared" si="1"/>
        <v>30078.700000000004</v>
      </c>
      <c r="AG15" s="27">
        <f aca="true" t="shared" si="3" ref="AG15:AG31">B15+C15-AF15</f>
        <v>28757.999999999993</v>
      </c>
    </row>
    <row r="16" spans="1:34" s="70" customFormat="1" ht="15" customHeight="1">
      <c r="A16" s="65" t="s">
        <v>46</v>
      </c>
      <c r="B16" s="66">
        <v>14490.1</v>
      </c>
      <c r="C16" s="66">
        <v>10715.5</v>
      </c>
      <c r="D16" s="67"/>
      <c r="E16" s="67"/>
      <c r="F16" s="66">
        <v>30.3</v>
      </c>
      <c r="G16" s="66">
        <v>2.1</v>
      </c>
      <c r="H16" s="66"/>
      <c r="I16" s="66"/>
      <c r="J16" s="68"/>
      <c r="K16" s="66">
        <v>5762.1</v>
      </c>
      <c r="L16" s="66"/>
      <c r="M16" s="66">
        <v>58.7</v>
      </c>
      <c r="N16" s="66"/>
      <c r="O16" s="69"/>
      <c r="P16" s="66">
        <v>48.7</v>
      </c>
      <c r="Q16" s="69"/>
      <c r="R16" s="66"/>
      <c r="S16" s="68"/>
      <c r="T16" s="68">
        <v>155.4</v>
      </c>
      <c r="U16" s="68">
        <v>6389</v>
      </c>
      <c r="V16" s="68">
        <v>11.4</v>
      </c>
      <c r="W16" s="68">
        <v>1.4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12459.099999999999</v>
      </c>
      <c r="AG16" s="71">
        <f t="shared" si="3"/>
        <v>12746.5</v>
      </c>
      <c r="AH16" s="75"/>
    </row>
    <row r="17" spans="1:34" ht="15.75">
      <c r="A17" s="3" t="s">
        <v>5</v>
      </c>
      <c r="B17" s="22">
        <v>26712.8</v>
      </c>
      <c r="C17" s="22">
        <v>1369.1</v>
      </c>
      <c r="D17" s="22"/>
      <c r="E17" s="22">
        <v>58.8</v>
      </c>
      <c r="F17" s="22"/>
      <c r="G17" s="22"/>
      <c r="H17" s="22">
        <v>8.9</v>
      </c>
      <c r="I17" s="22"/>
      <c r="J17" s="26"/>
      <c r="K17" s="22">
        <v>11058.8</v>
      </c>
      <c r="L17" s="22"/>
      <c r="M17" s="22"/>
      <c r="N17" s="22"/>
      <c r="O17" s="27"/>
      <c r="P17" s="22"/>
      <c r="Q17" s="27"/>
      <c r="R17" s="22"/>
      <c r="S17" s="26"/>
      <c r="T17" s="26"/>
      <c r="U17" s="26">
        <v>6387.9</v>
      </c>
      <c r="V17" s="26">
        <v>7253.1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24767.5</v>
      </c>
      <c r="AG17" s="27">
        <f t="shared" si="3"/>
        <v>3314.399999999998</v>
      </c>
      <c r="AH17" s="6"/>
    </row>
    <row r="18" spans="1:33" ht="15.75">
      <c r="A18" s="3" t="s">
        <v>3</v>
      </c>
      <c r="B18" s="22">
        <v>15.8</v>
      </c>
      <c r="C18" s="22">
        <v>17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>
        <v>0.3</v>
      </c>
      <c r="P18" s="22">
        <v>1.5</v>
      </c>
      <c r="Q18" s="27"/>
      <c r="R18" s="22"/>
      <c r="S18" s="26"/>
      <c r="T18" s="26">
        <v>2.7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4.5</v>
      </c>
      <c r="AG18" s="27">
        <f t="shared" si="3"/>
        <v>28.299999999999997</v>
      </c>
    </row>
    <row r="19" spans="1:33" ht="15.75">
      <c r="A19" s="3" t="s">
        <v>1</v>
      </c>
      <c r="B19" s="22">
        <f>2930.3+907.6</f>
        <v>3837.9</v>
      </c>
      <c r="C19" s="22">
        <v>3622.1</v>
      </c>
      <c r="D19" s="22"/>
      <c r="E19" s="22"/>
      <c r="F19" s="22">
        <v>255</v>
      </c>
      <c r="G19" s="22"/>
      <c r="H19" s="22"/>
      <c r="I19" s="22">
        <v>84.2</v>
      </c>
      <c r="J19" s="26"/>
      <c r="K19" s="22">
        <v>424</v>
      </c>
      <c r="L19" s="22">
        <v>114.7</v>
      </c>
      <c r="M19" s="22"/>
      <c r="N19" s="22"/>
      <c r="O19" s="27">
        <v>287.8</v>
      </c>
      <c r="P19" s="22">
        <v>35.2</v>
      </c>
      <c r="Q19" s="27"/>
      <c r="R19" s="22"/>
      <c r="S19" s="26">
        <v>180.6</v>
      </c>
      <c r="T19" s="26">
        <v>4.9</v>
      </c>
      <c r="U19" s="26">
        <v>11.3</v>
      </c>
      <c r="V19" s="26">
        <v>180.1</v>
      </c>
      <c r="W19" s="26">
        <v>666.9</v>
      </c>
      <c r="X19" s="22">
        <v>489</v>
      </c>
      <c r="Y19" s="26"/>
      <c r="Z19" s="26"/>
      <c r="AA19" s="26"/>
      <c r="AB19" s="22"/>
      <c r="AC19" s="22"/>
      <c r="AD19" s="22"/>
      <c r="AE19" s="22"/>
      <c r="AF19" s="27">
        <f t="shared" si="1"/>
        <v>2733.7</v>
      </c>
      <c r="AG19" s="27">
        <f t="shared" si="3"/>
        <v>4726.3</v>
      </c>
    </row>
    <row r="20" spans="1:33" ht="15.75">
      <c r="A20" s="3" t="s">
        <v>2</v>
      </c>
      <c r="B20" s="22">
        <v>2637.7</v>
      </c>
      <c r="C20" s="22">
        <v>14314.6</v>
      </c>
      <c r="D20" s="22"/>
      <c r="E20" s="22"/>
      <c r="F20" s="22">
        <v>28</v>
      </c>
      <c r="G20" s="22"/>
      <c r="H20" s="22"/>
      <c r="I20" s="22">
        <v>38.6</v>
      </c>
      <c r="J20" s="26"/>
      <c r="K20" s="22">
        <v>83.7</v>
      </c>
      <c r="L20" s="22"/>
      <c r="M20" s="22"/>
      <c r="N20" s="22"/>
      <c r="O20" s="27">
        <v>3.3</v>
      </c>
      <c r="P20" s="22">
        <v>35.7</v>
      </c>
      <c r="Q20" s="27"/>
      <c r="R20" s="22"/>
      <c r="S20" s="26">
        <v>338.5</v>
      </c>
      <c r="T20" s="26">
        <v>131.2</v>
      </c>
      <c r="U20" s="26"/>
      <c r="V20" s="26">
        <v>33.4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692.4</v>
      </c>
      <c r="AG20" s="27">
        <f>B20+C20-AF20</f>
        <v>16259.9</v>
      </c>
    </row>
    <row r="21" spans="1:33" ht="15.75">
      <c r="A21" s="3" t="s">
        <v>17</v>
      </c>
      <c r="B21" s="22">
        <v>1721.1</v>
      </c>
      <c r="C21" s="22">
        <v>853.2</v>
      </c>
      <c r="D21" s="22"/>
      <c r="E21" s="22"/>
      <c r="F21" s="22"/>
      <c r="G21" s="22"/>
      <c r="H21" s="22"/>
      <c r="I21" s="22"/>
      <c r="J21" s="26"/>
      <c r="K21" s="22">
        <v>13.1</v>
      </c>
      <c r="L21" s="22">
        <v>1.8</v>
      </c>
      <c r="M21" s="22"/>
      <c r="N21" s="22"/>
      <c r="O21" s="27">
        <v>8.3</v>
      </c>
      <c r="P21" s="22"/>
      <c r="Q21" s="27"/>
      <c r="R21" s="22"/>
      <c r="S21" s="26"/>
      <c r="T21" s="26">
        <v>691.5</v>
      </c>
      <c r="U21" s="22"/>
      <c r="V21" s="22">
        <v>342.5</v>
      </c>
      <c r="W21" s="22">
        <v>33.6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1090.8</v>
      </c>
      <c r="AG21" s="27">
        <f t="shared" si="3"/>
        <v>1483.5000000000002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420.8999999999992</v>
      </c>
      <c r="C23" s="22">
        <f t="shared" si="4"/>
        <v>3314.5000000000027</v>
      </c>
      <c r="D23" s="22">
        <f t="shared" si="4"/>
        <v>0</v>
      </c>
      <c r="E23" s="22">
        <f t="shared" si="4"/>
        <v>0</v>
      </c>
      <c r="F23" s="22">
        <f t="shared" si="4"/>
        <v>53.60000000000002</v>
      </c>
      <c r="G23" s="22">
        <f t="shared" si="4"/>
        <v>2.1</v>
      </c>
      <c r="H23" s="22">
        <f t="shared" si="4"/>
        <v>0</v>
      </c>
      <c r="I23" s="22">
        <f t="shared" si="4"/>
        <v>157.20000000000002</v>
      </c>
      <c r="J23" s="22">
        <f t="shared" si="4"/>
        <v>0</v>
      </c>
      <c r="K23" s="22">
        <f t="shared" si="4"/>
        <v>125.20000000000002</v>
      </c>
      <c r="L23" s="22">
        <f t="shared" si="4"/>
        <v>9.09999999999999</v>
      </c>
      <c r="M23" s="22">
        <f t="shared" si="4"/>
        <v>58.7</v>
      </c>
      <c r="N23" s="22">
        <f t="shared" si="4"/>
        <v>0</v>
      </c>
      <c r="O23" s="22">
        <f t="shared" si="4"/>
        <v>82.79999999999998</v>
      </c>
      <c r="P23" s="22">
        <f t="shared" si="4"/>
        <v>75.29999999999998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136.70000000000005</v>
      </c>
      <c r="U23" s="22">
        <f t="shared" si="4"/>
        <v>14.800000000000363</v>
      </c>
      <c r="V23" s="22">
        <f t="shared" si="4"/>
        <v>39.899999999999636</v>
      </c>
      <c r="W23" s="22">
        <f t="shared" si="4"/>
        <v>34.4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789.8</v>
      </c>
      <c r="AG23" s="27">
        <f t="shared" si="3"/>
        <v>2945.600000000002</v>
      </c>
    </row>
    <row r="24" spans="1:33" ht="15" customHeight="1">
      <c r="A24" s="4" t="s">
        <v>7</v>
      </c>
      <c r="B24" s="22">
        <f>22309.6-79.7</f>
        <v>22229.899999999998</v>
      </c>
      <c r="C24" s="22">
        <v>10540.9</v>
      </c>
      <c r="D24" s="22">
        <v>1.2</v>
      </c>
      <c r="E24" s="22"/>
      <c r="F24" s="22">
        <v>138</v>
      </c>
      <c r="G24" s="22">
        <v>156.5</v>
      </c>
      <c r="H24" s="22">
        <v>0.9</v>
      </c>
      <c r="I24" s="22"/>
      <c r="J24" s="26"/>
      <c r="K24" s="22">
        <v>1007.9</v>
      </c>
      <c r="L24" s="22">
        <v>6309.6</v>
      </c>
      <c r="M24" s="22">
        <v>1.9</v>
      </c>
      <c r="N24" s="22"/>
      <c r="O24" s="27">
        <v>11.6</v>
      </c>
      <c r="P24" s="22"/>
      <c r="Q24" s="27">
        <v>1274.5</v>
      </c>
      <c r="R24" s="27">
        <v>3.3</v>
      </c>
      <c r="S24" s="26">
        <v>9.8</v>
      </c>
      <c r="T24" s="26"/>
      <c r="U24" s="26">
        <v>9135</v>
      </c>
      <c r="V24" s="26">
        <v>1038</v>
      </c>
      <c r="W24" s="26">
        <v>13.4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19101.6</v>
      </c>
      <c r="AG24" s="27">
        <f t="shared" si="3"/>
        <v>13669.199999999997</v>
      </c>
    </row>
    <row r="25" spans="1:34" s="70" customFormat="1" ht="15" customHeight="1">
      <c r="A25" s="65" t="s">
        <v>47</v>
      </c>
      <c r="B25" s="66">
        <f>15919.2-12.9</f>
        <v>15906.300000000001</v>
      </c>
      <c r="C25" s="66">
        <v>6569.4</v>
      </c>
      <c r="D25" s="66"/>
      <c r="E25" s="66"/>
      <c r="F25" s="66">
        <v>130.4</v>
      </c>
      <c r="G25" s="66">
        <v>0.7</v>
      </c>
      <c r="H25" s="66">
        <v>0.5</v>
      </c>
      <c r="I25" s="66"/>
      <c r="J25" s="68"/>
      <c r="K25" s="66">
        <v>822.9</v>
      </c>
      <c r="L25" s="66">
        <v>6309.6</v>
      </c>
      <c r="M25" s="66">
        <v>1.9</v>
      </c>
      <c r="N25" s="66"/>
      <c r="O25" s="69">
        <v>11.6</v>
      </c>
      <c r="P25" s="66"/>
      <c r="Q25" s="69">
        <v>827.6</v>
      </c>
      <c r="R25" s="69">
        <v>3.3</v>
      </c>
      <c r="S25" s="68">
        <v>8</v>
      </c>
      <c r="T25" s="68"/>
      <c r="U25" s="68">
        <v>6151.8</v>
      </c>
      <c r="V25" s="68">
        <v>130.2</v>
      </c>
      <c r="W25" s="68">
        <v>5.6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14404.100000000002</v>
      </c>
      <c r="AG25" s="71">
        <f t="shared" si="3"/>
        <v>8071.5999999999985</v>
      </c>
      <c r="AH25" s="75"/>
    </row>
    <row r="26" spans="1:34" ht="15.75">
      <c r="A26" s="3" t="s">
        <v>5</v>
      </c>
      <c r="B26" s="22">
        <v>16129.5</v>
      </c>
      <c r="C26" s="22">
        <v>961.2</v>
      </c>
      <c r="D26" s="22"/>
      <c r="E26" s="22"/>
      <c r="F26" s="22"/>
      <c r="G26" s="22"/>
      <c r="H26" s="22"/>
      <c r="I26" s="22"/>
      <c r="J26" s="26"/>
      <c r="K26" s="22"/>
      <c r="L26" s="22">
        <v>6242.7</v>
      </c>
      <c r="M26" s="22"/>
      <c r="N26" s="22"/>
      <c r="O26" s="27"/>
      <c r="P26" s="22"/>
      <c r="Q26" s="27"/>
      <c r="R26" s="22"/>
      <c r="S26" s="26"/>
      <c r="T26" s="26"/>
      <c r="U26" s="26">
        <v>5508.9</v>
      </c>
      <c r="V26" s="26">
        <v>883.1</v>
      </c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12634.699999999999</v>
      </c>
      <c r="AG26" s="27">
        <f t="shared" si="3"/>
        <v>4456.000000000002</v>
      </c>
      <c r="AH26" s="6"/>
    </row>
    <row r="27" spans="1:33" ht="15.75">
      <c r="A27" s="3" t="s">
        <v>3</v>
      </c>
      <c r="B27" s="22">
        <f>1899.2+40.9</f>
        <v>1940.1000000000001</v>
      </c>
      <c r="C27" s="22">
        <v>2434.5</v>
      </c>
      <c r="D27" s="22"/>
      <c r="E27" s="22"/>
      <c r="F27" s="22">
        <v>15.7</v>
      </c>
      <c r="G27" s="22">
        <v>121</v>
      </c>
      <c r="H27" s="22"/>
      <c r="I27" s="22"/>
      <c r="J27" s="26"/>
      <c r="K27" s="22">
        <v>473.1</v>
      </c>
      <c r="L27" s="22"/>
      <c r="M27" s="22"/>
      <c r="N27" s="22"/>
      <c r="O27" s="27"/>
      <c r="P27" s="22"/>
      <c r="Q27" s="27">
        <v>686.5</v>
      </c>
      <c r="R27" s="22"/>
      <c r="S27" s="26"/>
      <c r="T27" s="26"/>
      <c r="U27" s="26">
        <v>662.7</v>
      </c>
      <c r="V27" s="26">
        <v>47.1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2006.1</v>
      </c>
      <c r="AG27" s="27">
        <f t="shared" si="3"/>
        <v>2368.5000000000005</v>
      </c>
    </row>
    <row r="28" spans="1:33" ht="15.75">
      <c r="A28" s="3" t="s">
        <v>1</v>
      </c>
      <c r="B28" s="22">
        <v>333.6</v>
      </c>
      <c r="C28" s="22">
        <v>81.1</v>
      </c>
      <c r="D28" s="22"/>
      <c r="E28" s="22"/>
      <c r="F28" s="22">
        <v>25.4</v>
      </c>
      <c r="G28" s="22">
        <v>0.3</v>
      </c>
      <c r="H28" s="22"/>
      <c r="I28" s="22"/>
      <c r="J28" s="26"/>
      <c r="K28" s="22">
        <v>70.1</v>
      </c>
      <c r="L28" s="22">
        <v>52.4</v>
      </c>
      <c r="M28" s="22"/>
      <c r="N28" s="22"/>
      <c r="O28" s="27"/>
      <c r="P28" s="22"/>
      <c r="Q28" s="27">
        <v>60.2</v>
      </c>
      <c r="R28" s="22"/>
      <c r="S28" s="26"/>
      <c r="T28" s="26"/>
      <c r="U28" s="26"/>
      <c r="V28" s="26">
        <v>9.3</v>
      </c>
      <c r="W28" s="26">
        <v>4.7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222.39999999999998</v>
      </c>
      <c r="AG28" s="27">
        <f t="shared" si="3"/>
        <v>192.30000000000007</v>
      </c>
    </row>
    <row r="29" spans="1:33" ht="15.75">
      <c r="A29" s="3" t="s">
        <v>2</v>
      </c>
      <c r="B29" s="22">
        <v>1574.5</v>
      </c>
      <c r="C29" s="22">
        <v>2064.5</v>
      </c>
      <c r="D29" s="22"/>
      <c r="E29" s="22"/>
      <c r="F29" s="22">
        <v>67.4</v>
      </c>
      <c r="G29" s="22">
        <v>0.3</v>
      </c>
      <c r="H29" s="22"/>
      <c r="I29" s="22"/>
      <c r="J29" s="26"/>
      <c r="K29" s="22">
        <v>313.9</v>
      </c>
      <c r="L29" s="22"/>
      <c r="M29" s="22">
        <v>1.4</v>
      </c>
      <c r="N29" s="22"/>
      <c r="O29" s="27">
        <v>11.6</v>
      </c>
      <c r="P29" s="22"/>
      <c r="Q29" s="27">
        <v>353.8</v>
      </c>
      <c r="R29" s="22">
        <v>1.3</v>
      </c>
      <c r="S29" s="26">
        <v>9.8</v>
      </c>
      <c r="T29" s="26"/>
      <c r="U29" s="26">
        <v>40</v>
      </c>
      <c r="V29" s="26">
        <v>0.6</v>
      </c>
      <c r="W29" s="26">
        <v>7.8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807.8999999999999</v>
      </c>
      <c r="AG29" s="27">
        <f t="shared" si="3"/>
        <v>2831.1000000000004</v>
      </c>
    </row>
    <row r="30" spans="1:33" ht="15.75">
      <c r="A30" s="3" t="s">
        <v>17</v>
      </c>
      <c r="B30" s="22">
        <f>164+29.5</f>
        <v>193.5</v>
      </c>
      <c r="C30" s="22">
        <v>54.7</v>
      </c>
      <c r="D30" s="22"/>
      <c r="E30" s="22"/>
      <c r="F30" s="22"/>
      <c r="G30" s="22"/>
      <c r="H30" s="22"/>
      <c r="I30" s="22"/>
      <c r="J30" s="26"/>
      <c r="K30" s="22">
        <v>36.4</v>
      </c>
      <c r="L30" s="22">
        <v>6.5</v>
      </c>
      <c r="M30" s="22"/>
      <c r="N30" s="22"/>
      <c r="O30" s="27"/>
      <c r="P30" s="22"/>
      <c r="Q30" s="27">
        <v>68.6</v>
      </c>
      <c r="R30" s="22"/>
      <c r="S30" s="26"/>
      <c r="T30" s="26"/>
      <c r="U30" s="26"/>
      <c r="V30" s="26"/>
      <c r="W30" s="26">
        <v>1.9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113.4</v>
      </c>
      <c r="AG30" s="27">
        <f t="shared" si="3"/>
        <v>134.79999999999998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2058.6999999999975</v>
      </c>
      <c r="C32" s="22">
        <f t="shared" si="5"/>
        <v>4944.899999999999</v>
      </c>
      <c r="D32" s="22">
        <f t="shared" si="5"/>
        <v>1.2</v>
      </c>
      <c r="E32" s="22">
        <f t="shared" si="5"/>
        <v>0</v>
      </c>
      <c r="F32" s="22">
        <f t="shared" si="5"/>
        <v>29.5</v>
      </c>
      <c r="G32" s="22">
        <f t="shared" si="5"/>
        <v>34.900000000000006</v>
      </c>
      <c r="H32" s="22">
        <f t="shared" si="5"/>
        <v>0.9</v>
      </c>
      <c r="I32" s="22">
        <f t="shared" si="5"/>
        <v>0</v>
      </c>
      <c r="J32" s="22">
        <f t="shared" si="5"/>
        <v>0</v>
      </c>
      <c r="K32" s="22">
        <f t="shared" si="5"/>
        <v>114.39999999999995</v>
      </c>
      <c r="L32" s="22">
        <f t="shared" si="5"/>
        <v>8.000000000000547</v>
      </c>
      <c r="M32" s="22">
        <f t="shared" si="5"/>
        <v>0.5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105.39999999999995</v>
      </c>
      <c r="R32" s="22">
        <f t="shared" si="5"/>
        <v>1.9999999999999998</v>
      </c>
      <c r="S32" s="22">
        <f t="shared" si="5"/>
        <v>0</v>
      </c>
      <c r="T32" s="22">
        <f t="shared" si="5"/>
        <v>0</v>
      </c>
      <c r="U32" s="22">
        <f t="shared" si="5"/>
        <v>2923.4000000000005</v>
      </c>
      <c r="V32" s="22">
        <f t="shared" si="5"/>
        <v>97.89999999999999</v>
      </c>
      <c r="W32" s="22">
        <f t="shared" si="5"/>
        <v>-1.0000000000000004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3317.1000000000013</v>
      </c>
      <c r="AG32" s="27">
        <f>AG24-AG26-AG27-AG28-AG29-AG30-AG31</f>
        <v>3686.4999999999945</v>
      </c>
    </row>
    <row r="33" spans="1:33" ht="15" customHeight="1">
      <c r="A33" s="4" t="s">
        <v>8</v>
      </c>
      <c r="B33" s="22">
        <v>119.2</v>
      </c>
      <c r="C33" s="22">
        <v>3366.4</v>
      </c>
      <c r="D33" s="22"/>
      <c r="E33" s="22"/>
      <c r="F33" s="22">
        <v>735</v>
      </c>
      <c r="G33" s="22"/>
      <c r="H33" s="22"/>
      <c r="I33" s="22"/>
      <c r="J33" s="26">
        <v>554.7</v>
      </c>
      <c r="K33" s="22"/>
      <c r="L33" s="22">
        <v>36.1</v>
      </c>
      <c r="M33" s="22"/>
      <c r="N33" s="22"/>
      <c r="O33" s="27">
        <v>0.4</v>
      </c>
      <c r="P33" s="22"/>
      <c r="Q33" s="27"/>
      <c r="R33" s="22"/>
      <c r="S33" s="26">
        <v>4.7</v>
      </c>
      <c r="T33" s="26"/>
      <c r="U33" s="26">
        <v>6</v>
      </c>
      <c r="V33" s="26">
        <v>1155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2491.9</v>
      </c>
      <c r="AG33" s="27">
        <f aca="true" t="shared" si="6" ref="AG33:AG38">B33+C33-AF33</f>
        <v>993.6999999999998</v>
      </c>
    </row>
    <row r="34" spans="1:33" ht="15.75">
      <c r="A34" s="3" t="s">
        <v>5</v>
      </c>
      <c r="B34" s="22">
        <v>123.8</v>
      </c>
      <c r="C34" s="22">
        <v>45</v>
      </c>
      <c r="D34" s="22"/>
      <c r="E34" s="22"/>
      <c r="F34" s="22"/>
      <c r="G34" s="22"/>
      <c r="H34" s="22"/>
      <c r="I34" s="22"/>
      <c r="J34" s="26"/>
      <c r="K34" s="22"/>
      <c r="L34" s="22">
        <v>36.1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101.8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137.9</v>
      </c>
      <c r="AG34" s="27">
        <f t="shared" si="6"/>
        <v>30.900000000000006</v>
      </c>
    </row>
    <row r="35" spans="1:33" ht="15.75">
      <c r="A35" s="3" t="s">
        <v>1</v>
      </c>
      <c r="B35" s="22">
        <v>0</v>
      </c>
      <c r="C35" s="22">
        <v>20.1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20.1</v>
      </c>
    </row>
    <row r="36" spans="1:33" ht="15.75">
      <c r="A36" s="3" t="s">
        <v>2</v>
      </c>
      <c r="B36" s="44">
        <v>6.4</v>
      </c>
      <c r="C36" s="22">
        <v>171.1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>
        <v>0.3</v>
      </c>
      <c r="P36" s="22"/>
      <c r="Q36" s="27"/>
      <c r="R36" s="22"/>
      <c r="S36" s="26">
        <v>3.1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3.4</v>
      </c>
      <c r="AG36" s="27">
        <f t="shared" si="6"/>
        <v>174.1</v>
      </c>
    </row>
    <row r="37" spans="1:33" ht="15.75">
      <c r="A37" s="3" t="s">
        <v>17</v>
      </c>
      <c r="B37" s="22">
        <v>0</v>
      </c>
      <c r="C37" s="22">
        <v>3079.4</v>
      </c>
      <c r="D37" s="22"/>
      <c r="E37" s="22"/>
      <c r="F37" s="22">
        <v>735</v>
      </c>
      <c r="G37" s="22"/>
      <c r="H37" s="22"/>
      <c r="I37" s="22"/>
      <c r="J37" s="26">
        <v>554.4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>
        <v>1033.2</v>
      </c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2322.6000000000004</v>
      </c>
      <c r="AG37" s="27">
        <f t="shared" si="6"/>
        <v>756.7999999999997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-10.999999999999995</v>
      </c>
      <c r="C39" s="22">
        <f t="shared" si="7"/>
        <v>50.80000000000009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0.3000000000000682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0.10000000000000003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1.6</v>
      </c>
      <c r="T39" s="22">
        <f t="shared" si="7"/>
        <v>0</v>
      </c>
      <c r="U39" s="22">
        <f t="shared" si="7"/>
        <v>6</v>
      </c>
      <c r="V39" s="22">
        <f t="shared" si="7"/>
        <v>20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28.000000000000068</v>
      </c>
      <c r="AG39" s="27">
        <f>AG33-AG34-AG36-AG38-AG35-AG37</f>
        <v>11.800000000000068</v>
      </c>
    </row>
    <row r="40" spans="1:33" ht="15" customHeight="1">
      <c r="A40" s="4" t="s">
        <v>33</v>
      </c>
      <c r="B40" s="22">
        <v>611.8</v>
      </c>
      <c r="C40" s="22">
        <v>118.6</v>
      </c>
      <c r="D40" s="22"/>
      <c r="E40" s="22"/>
      <c r="F40" s="22"/>
      <c r="G40" s="22"/>
      <c r="H40" s="22">
        <v>16.4</v>
      </c>
      <c r="I40" s="22"/>
      <c r="J40" s="26"/>
      <c r="K40" s="22">
        <v>242.5</v>
      </c>
      <c r="L40" s="22"/>
      <c r="M40" s="22"/>
      <c r="N40" s="22"/>
      <c r="O40" s="27"/>
      <c r="P40" s="22"/>
      <c r="Q40" s="27">
        <v>9.9</v>
      </c>
      <c r="R40" s="27"/>
      <c r="S40" s="26"/>
      <c r="T40" s="26"/>
      <c r="U40" s="26"/>
      <c r="V40" s="26">
        <v>311.7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580.5</v>
      </c>
      <c r="AG40" s="27">
        <f aca="true" t="shared" si="8" ref="AG40:AG45">B40+C40-AF40</f>
        <v>149.89999999999998</v>
      </c>
    </row>
    <row r="41" spans="1:34" ht="15.75">
      <c r="A41" s="3" t="s">
        <v>5</v>
      </c>
      <c r="B41" s="22">
        <v>570.1</v>
      </c>
      <c r="C41" s="22">
        <v>28.7</v>
      </c>
      <c r="D41" s="22"/>
      <c r="E41" s="22"/>
      <c r="F41" s="22"/>
      <c r="G41" s="22"/>
      <c r="H41" s="22"/>
      <c r="I41" s="22"/>
      <c r="J41" s="26"/>
      <c r="K41" s="22">
        <v>215.2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305.6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520.8</v>
      </c>
      <c r="AG41" s="27">
        <f t="shared" si="8"/>
        <v>78.00000000000011</v>
      </c>
      <c r="AH41" s="6"/>
    </row>
    <row r="42" spans="1:33" ht="15.75">
      <c r="A42" s="3" t="s">
        <v>3</v>
      </c>
      <c r="B42" s="22">
        <v>0.3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>
        <v>0.3</v>
      </c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0.3</v>
      </c>
      <c r="AG42" s="27">
        <f t="shared" si="8"/>
        <v>0</v>
      </c>
    </row>
    <row r="43" spans="1:33" ht="15.75">
      <c r="A43" s="3" t="s">
        <v>1</v>
      </c>
      <c r="B43" s="22">
        <v>2.2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3.9000000000000004</v>
      </c>
    </row>
    <row r="44" spans="1:33" ht="15.75">
      <c r="A44" s="3" t="s">
        <v>2</v>
      </c>
      <c r="B44" s="22">
        <v>4.3</v>
      </c>
      <c r="C44" s="22">
        <v>31.7</v>
      </c>
      <c r="D44" s="22"/>
      <c r="E44" s="22"/>
      <c r="F44" s="22"/>
      <c r="G44" s="22"/>
      <c r="H44" s="22">
        <v>0.3</v>
      </c>
      <c r="I44" s="22"/>
      <c r="J44" s="26"/>
      <c r="K44" s="22"/>
      <c r="L44" s="22"/>
      <c r="M44" s="22"/>
      <c r="N44" s="22"/>
      <c r="O44" s="27"/>
      <c r="P44" s="22"/>
      <c r="Q44" s="22">
        <v>1.5</v>
      </c>
      <c r="R44" s="22"/>
      <c r="S44" s="26"/>
      <c r="T44" s="26"/>
      <c r="U44" s="26"/>
      <c r="V44" s="26">
        <v>1.7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3.5</v>
      </c>
      <c r="AG44" s="27">
        <f t="shared" si="8"/>
        <v>32.5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34.899999999999935</v>
      </c>
      <c r="C46" s="22">
        <f t="shared" si="10"/>
        <v>56.499999999999986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16.099999999999998</v>
      </c>
      <c r="I46" s="22">
        <f t="shared" si="10"/>
        <v>0</v>
      </c>
      <c r="J46" s="22">
        <f t="shared" si="10"/>
        <v>0</v>
      </c>
      <c r="K46" s="22">
        <f t="shared" si="10"/>
        <v>27.30000000000001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8.1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4.399999999999966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55.89999999999997</v>
      </c>
      <c r="AG46" s="27">
        <f>AG40-AG41-AG42-AG43-AG44-AG45</f>
        <v>35.49999999999986</v>
      </c>
    </row>
    <row r="47" spans="1:33" ht="17.25" customHeight="1">
      <c r="A47" s="4" t="s">
        <v>70</v>
      </c>
      <c r="B47" s="36">
        <f>808.1+35.5</f>
        <v>843.6</v>
      </c>
      <c r="C47" s="22">
        <v>1412.3</v>
      </c>
      <c r="D47" s="22"/>
      <c r="E47" s="28"/>
      <c r="F47" s="28">
        <f>20+31.4</f>
        <v>51.4</v>
      </c>
      <c r="G47" s="28">
        <v>9.3</v>
      </c>
      <c r="H47" s="28">
        <v>18.4</v>
      </c>
      <c r="I47" s="28">
        <v>121.3</v>
      </c>
      <c r="J47" s="29">
        <v>4</v>
      </c>
      <c r="K47" s="28">
        <v>17.3</v>
      </c>
      <c r="L47" s="28">
        <v>7.5</v>
      </c>
      <c r="M47" s="28"/>
      <c r="N47" s="28"/>
      <c r="O47" s="31">
        <v>0.8</v>
      </c>
      <c r="P47" s="28">
        <v>3.2</v>
      </c>
      <c r="Q47" s="28"/>
      <c r="R47" s="28">
        <v>62.9</v>
      </c>
      <c r="S47" s="29">
        <v>4.2</v>
      </c>
      <c r="T47" s="29">
        <v>24.9</v>
      </c>
      <c r="U47" s="28"/>
      <c r="V47" s="28">
        <v>28.5</v>
      </c>
      <c r="W47" s="28">
        <v>7.2</v>
      </c>
      <c r="X47" s="28">
        <v>36.4</v>
      </c>
      <c r="Y47" s="29">
        <v>13.4</v>
      </c>
      <c r="Z47" s="29"/>
      <c r="AA47" s="29"/>
      <c r="AB47" s="28"/>
      <c r="AC47" s="28"/>
      <c r="AD47" s="28"/>
      <c r="AE47" s="28"/>
      <c r="AF47" s="27">
        <f t="shared" si="9"/>
        <v>410.6999999999999</v>
      </c>
      <c r="AG47" s="27">
        <f>B47+C47-AF47</f>
        <v>1845.2000000000003</v>
      </c>
    </row>
    <row r="48" spans="1:33" ht="15.75">
      <c r="A48" s="3" t="s">
        <v>5</v>
      </c>
      <c r="B48" s="22">
        <f>1.4+1.4</f>
        <v>2.8</v>
      </c>
      <c r="C48" s="22">
        <v>17.3</v>
      </c>
      <c r="D48" s="22"/>
      <c r="E48" s="28"/>
      <c r="F48" s="28"/>
      <c r="G48" s="28"/>
      <c r="H48" s="28">
        <v>18.4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18.4</v>
      </c>
      <c r="AG48" s="27">
        <f>B48+C48-AF48</f>
        <v>1.7000000000000028</v>
      </c>
    </row>
    <row r="49" spans="1:33" ht="15.75">
      <c r="A49" s="3" t="s">
        <v>17</v>
      </c>
      <c r="B49" s="22">
        <f>668.8-1.4+34.1</f>
        <v>701.5</v>
      </c>
      <c r="C49" s="22">
        <v>850.7</v>
      </c>
      <c r="D49" s="22"/>
      <c r="E49" s="22"/>
      <c r="F49" s="22">
        <v>17.8</v>
      </c>
      <c r="G49" s="22"/>
      <c r="H49" s="22"/>
      <c r="I49" s="22">
        <v>121.1</v>
      </c>
      <c r="J49" s="26">
        <v>4</v>
      </c>
      <c r="K49" s="22">
        <v>17.3</v>
      </c>
      <c r="L49" s="22">
        <v>7.4</v>
      </c>
      <c r="M49" s="22"/>
      <c r="N49" s="22"/>
      <c r="O49" s="27"/>
      <c r="P49" s="22">
        <v>3.1</v>
      </c>
      <c r="Q49" s="22"/>
      <c r="R49" s="22">
        <v>62.9</v>
      </c>
      <c r="S49" s="26">
        <v>4.2</v>
      </c>
      <c r="T49" s="26">
        <v>2</v>
      </c>
      <c r="U49" s="22"/>
      <c r="V49" s="22">
        <v>3.7</v>
      </c>
      <c r="W49" s="22"/>
      <c r="X49" s="22">
        <v>25</v>
      </c>
      <c r="Y49" s="26"/>
      <c r="Z49" s="26"/>
      <c r="AA49" s="26"/>
      <c r="AB49" s="22"/>
      <c r="AC49" s="22"/>
      <c r="AD49" s="22"/>
      <c r="AE49" s="22"/>
      <c r="AF49" s="27">
        <f t="shared" si="9"/>
        <v>268.5</v>
      </c>
      <c r="AG49" s="27">
        <f>B49+C49-AF49</f>
        <v>1283.7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139.30000000000007</v>
      </c>
      <c r="C51" s="22">
        <f t="shared" si="11"/>
        <v>544.3</v>
      </c>
      <c r="D51" s="22">
        <f t="shared" si="11"/>
        <v>0</v>
      </c>
      <c r="E51" s="22">
        <f t="shared" si="11"/>
        <v>0</v>
      </c>
      <c r="F51" s="22">
        <f t="shared" si="11"/>
        <v>33.599999999999994</v>
      </c>
      <c r="G51" s="22">
        <f t="shared" si="11"/>
        <v>9.3</v>
      </c>
      <c r="H51" s="22">
        <f t="shared" si="11"/>
        <v>0</v>
      </c>
      <c r="I51" s="22">
        <f t="shared" si="11"/>
        <v>0.20000000000000284</v>
      </c>
      <c r="J51" s="22">
        <f t="shared" si="11"/>
        <v>0</v>
      </c>
      <c r="K51" s="22">
        <f t="shared" si="11"/>
        <v>0</v>
      </c>
      <c r="L51" s="22">
        <f t="shared" si="11"/>
        <v>0.09999999999999964</v>
      </c>
      <c r="M51" s="22">
        <f t="shared" si="11"/>
        <v>0</v>
      </c>
      <c r="N51" s="22">
        <f t="shared" si="11"/>
        <v>0</v>
      </c>
      <c r="O51" s="22">
        <f t="shared" si="11"/>
        <v>0.8</v>
      </c>
      <c r="P51" s="22">
        <f t="shared" si="11"/>
        <v>0.10000000000000009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22.9</v>
      </c>
      <c r="U51" s="22">
        <f t="shared" si="11"/>
        <v>0</v>
      </c>
      <c r="V51" s="22">
        <f t="shared" si="11"/>
        <v>24.8</v>
      </c>
      <c r="W51" s="22">
        <f>W47-W48-W49</f>
        <v>7.2</v>
      </c>
      <c r="X51" s="22">
        <f t="shared" si="11"/>
        <v>11.399999999999999</v>
      </c>
      <c r="Y51" s="22">
        <f t="shared" si="11"/>
        <v>13.4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123.80000000000001</v>
      </c>
      <c r="AG51" s="27">
        <f>AG47-AG49-AG48</f>
        <v>559.8000000000002</v>
      </c>
    </row>
    <row r="52" spans="1:33" ht="15" customHeight="1">
      <c r="A52" s="4" t="s">
        <v>0</v>
      </c>
      <c r="B52" s="22">
        <v>4057</v>
      </c>
      <c r="C52" s="22">
        <v>4528.4</v>
      </c>
      <c r="D52" s="22">
        <v>1084.3</v>
      </c>
      <c r="E52" s="22"/>
      <c r="F52" s="22">
        <v>1229.3</v>
      </c>
      <c r="G52" s="22">
        <v>137.2</v>
      </c>
      <c r="H52" s="22">
        <v>627.6</v>
      </c>
      <c r="I52" s="22">
        <v>37.3</v>
      </c>
      <c r="J52" s="26"/>
      <c r="K52" s="22">
        <v>404.5</v>
      </c>
      <c r="L52" s="22">
        <v>7</v>
      </c>
      <c r="M52" s="22">
        <v>105.8</v>
      </c>
      <c r="N52" s="22">
        <v>10.9</v>
      </c>
      <c r="O52" s="27">
        <v>68</v>
      </c>
      <c r="P52" s="22"/>
      <c r="Q52" s="22">
        <v>190.3</v>
      </c>
      <c r="R52" s="22">
        <v>238.7</v>
      </c>
      <c r="S52" s="26">
        <v>178.1</v>
      </c>
      <c r="T52" s="26">
        <v>272</v>
      </c>
      <c r="U52" s="26">
        <v>84.2</v>
      </c>
      <c r="V52" s="26">
        <v>347.5</v>
      </c>
      <c r="W52" s="26">
        <v>338.9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5361.6</v>
      </c>
      <c r="AG52" s="27">
        <f aca="true" t="shared" si="12" ref="AG52:AG59">B52+C52-AF52</f>
        <v>3223.7999999999993</v>
      </c>
    </row>
    <row r="53" spans="1:33" ht="15" customHeight="1">
      <c r="A53" s="3" t="s">
        <v>2</v>
      </c>
      <c r="B53" s="22">
        <v>775.3</v>
      </c>
      <c r="C53" s="22">
        <v>334.2</v>
      </c>
      <c r="D53" s="22"/>
      <c r="E53" s="22"/>
      <c r="F53" s="22">
        <v>394.5</v>
      </c>
      <c r="G53" s="22"/>
      <c r="H53" s="22"/>
      <c r="I53" s="22">
        <v>37.3</v>
      </c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67.4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499.20000000000005</v>
      </c>
      <c r="AG53" s="27">
        <f t="shared" si="12"/>
        <v>610.3</v>
      </c>
    </row>
    <row r="54" spans="1:34" ht="15" customHeight="1">
      <c r="A54" s="4" t="s">
        <v>9</v>
      </c>
      <c r="B54" s="44">
        <f>3339.6+199.4+40</f>
        <v>3579</v>
      </c>
      <c r="C54" s="22">
        <v>2417.3</v>
      </c>
      <c r="D54" s="22"/>
      <c r="E54" s="22">
        <v>58.6</v>
      </c>
      <c r="F54" s="22">
        <v>205.7</v>
      </c>
      <c r="G54" s="22">
        <v>61.8</v>
      </c>
      <c r="H54" s="22">
        <v>0.5</v>
      </c>
      <c r="I54" s="22"/>
      <c r="J54" s="26">
        <v>21.6</v>
      </c>
      <c r="K54" s="22">
        <v>1406.8</v>
      </c>
      <c r="L54" s="22">
        <v>8.9</v>
      </c>
      <c r="M54" s="22"/>
      <c r="N54" s="22"/>
      <c r="O54" s="27">
        <v>79.1</v>
      </c>
      <c r="P54" s="22">
        <v>1.7</v>
      </c>
      <c r="Q54" s="27">
        <v>60.6</v>
      </c>
      <c r="R54" s="22"/>
      <c r="S54" s="26">
        <v>3.3</v>
      </c>
      <c r="T54" s="26">
        <v>48.7</v>
      </c>
      <c r="U54" s="26">
        <v>268.9</v>
      </c>
      <c r="V54" s="26">
        <v>1582</v>
      </c>
      <c r="W54" s="26">
        <v>26.6</v>
      </c>
      <c r="X54" s="22">
        <v>38</v>
      </c>
      <c r="Y54" s="26"/>
      <c r="Z54" s="26"/>
      <c r="AA54" s="26"/>
      <c r="AB54" s="22"/>
      <c r="AC54" s="22"/>
      <c r="AD54" s="22"/>
      <c r="AE54" s="22"/>
      <c r="AF54" s="27">
        <f t="shared" si="9"/>
        <v>3872.7999999999997</v>
      </c>
      <c r="AG54" s="22">
        <f t="shared" si="12"/>
        <v>2123.5000000000005</v>
      </c>
      <c r="AH54" s="6"/>
    </row>
    <row r="55" spans="1:34" ht="15.75">
      <c r="A55" s="3" t="s">
        <v>5</v>
      </c>
      <c r="B55" s="22">
        <v>2999.3</v>
      </c>
      <c r="C55" s="22">
        <v>881.2</v>
      </c>
      <c r="D55" s="22"/>
      <c r="E55" s="22">
        <v>58.6</v>
      </c>
      <c r="F55" s="22"/>
      <c r="G55" s="22">
        <v>10</v>
      </c>
      <c r="H55" s="22"/>
      <c r="I55" s="22"/>
      <c r="J55" s="26"/>
      <c r="K55" s="22">
        <v>1391</v>
      </c>
      <c r="L55" s="22"/>
      <c r="M55" s="22"/>
      <c r="N55" s="22"/>
      <c r="O55" s="27"/>
      <c r="P55" s="22"/>
      <c r="Q55" s="27">
        <v>48.8</v>
      </c>
      <c r="R55" s="22"/>
      <c r="S55" s="26"/>
      <c r="T55" s="26"/>
      <c r="U55" s="26">
        <v>259.9</v>
      </c>
      <c r="V55" s="26">
        <v>1234.6</v>
      </c>
      <c r="W55" s="26">
        <v>4.8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3007.7</v>
      </c>
      <c r="AG55" s="22">
        <f t="shared" si="12"/>
        <v>872.8000000000002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31.4</v>
      </c>
      <c r="C57" s="22">
        <v>621.8</v>
      </c>
      <c r="D57" s="22"/>
      <c r="E57" s="22"/>
      <c r="F57" s="22"/>
      <c r="G57" s="22">
        <v>2.2</v>
      </c>
      <c r="H57" s="22"/>
      <c r="I57" s="22"/>
      <c r="J57" s="26">
        <v>3.8</v>
      </c>
      <c r="K57" s="22"/>
      <c r="L57" s="22"/>
      <c r="M57" s="22"/>
      <c r="N57" s="22"/>
      <c r="O57" s="27"/>
      <c r="P57" s="22"/>
      <c r="Q57" s="27">
        <v>2.7</v>
      </c>
      <c r="R57" s="22"/>
      <c r="S57" s="26"/>
      <c r="T57" s="26">
        <v>1.2</v>
      </c>
      <c r="U57" s="26">
        <v>9</v>
      </c>
      <c r="V57" s="26"/>
      <c r="W57" s="26">
        <v>4.1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23</v>
      </c>
      <c r="AG57" s="22">
        <f t="shared" si="12"/>
        <v>630.1999999999999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548.2999999999998</v>
      </c>
      <c r="C60" s="22">
        <f t="shared" si="13"/>
        <v>914.3000000000002</v>
      </c>
      <c r="D60" s="22">
        <f t="shared" si="13"/>
        <v>0</v>
      </c>
      <c r="E60" s="22">
        <f t="shared" si="13"/>
        <v>0</v>
      </c>
      <c r="F60" s="22">
        <f t="shared" si="13"/>
        <v>205.7</v>
      </c>
      <c r="G60" s="22">
        <f t="shared" si="13"/>
        <v>49.599999999999994</v>
      </c>
      <c r="H60" s="22">
        <f t="shared" si="13"/>
        <v>0.5</v>
      </c>
      <c r="I60" s="22">
        <f t="shared" si="13"/>
        <v>0</v>
      </c>
      <c r="J60" s="22">
        <f t="shared" si="13"/>
        <v>17.8</v>
      </c>
      <c r="K60" s="22">
        <f t="shared" si="13"/>
        <v>15.799999999999955</v>
      </c>
      <c r="L60" s="22">
        <f t="shared" si="13"/>
        <v>8.9</v>
      </c>
      <c r="M60" s="22">
        <f t="shared" si="13"/>
        <v>0</v>
      </c>
      <c r="N60" s="22">
        <f t="shared" si="13"/>
        <v>0</v>
      </c>
      <c r="O60" s="22">
        <f t="shared" si="13"/>
        <v>79.1</v>
      </c>
      <c r="P60" s="22">
        <f t="shared" si="13"/>
        <v>1.7</v>
      </c>
      <c r="Q60" s="22">
        <f t="shared" si="13"/>
        <v>9.100000000000005</v>
      </c>
      <c r="R60" s="22">
        <f t="shared" si="13"/>
        <v>0</v>
      </c>
      <c r="S60" s="22">
        <f t="shared" si="13"/>
        <v>3.3</v>
      </c>
      <c r="T60" s="22">
        <f t="shared" si="13"/>
        <v>47.5</v>
      </c>
      <c r="U60" s="22">
        <f t="shared" si="13"/>
        <v>0</v>
      </c>
      <c r="V60" s="22">
        <f t="shared" si="13"/>
        <v>347.4000000000001</v>
      </c>
      <c r="W60" s="22">
        <f t="shared" si="13"/>
        <v>17.700000000000003</v>
      </c>
      <c r="X60" s="22">
        <f t="shared" si="13"/>
        <v>38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842.0999999999999</v>
      </c>
      <c r="AG60" s="22">
        <f>AG54-AG55-AG57-AG59-AG56-AG58</f>
        <v>620.5000000000003</v>
      </c>
    </row>
    <row r="61" spans="1:33" ht="15" customHeight="1">
      <c r="A61" s="4" t="s">
        <v>10</v>
      </c>
      <c r="B61" s="22">
        <v>164.5</v>
      </c>
      <c r="C61" s="22">
        <v>168.1</v>
      </c>
      <c r="D61" s="22"/>
      <c r="E61" s="22"/>
      <c r="F61" s="22">
        <v>7</v>
      </c>
      <c r="G61" s="22"/>
      <c r="H61" s="22"/>
      <c r="I61" s="22">
        <v>24</v>
      </c>
      <c r="J61" s="26"/>
      <c r="K61" s="22"/>
      <c r="L61" s="22"/>
      <c r="M61" s="22"/>
      <c r="N61" s="22"/>
      <c r="O61" s="27"/>
      <c r="P61" s="22"/>
      <c r="Q61" s="27"/>
      <c r="R61" s="22">
        <v>0.8</v>
      </c>
      <c r="S61" s="26"/>
      <c r="T61" s="26"/>
      <c r="U61" s="26"/>
      <c r="V61" s="26"/>
      <c r="W61" s="26">
        <v>46.5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78.3</v>
      </c>
      <c r="AG61" s="22">
        <f aca="true" t="shared" si="15" ref="AG61:AG67">B61+C61-AF61</f>
        <v>254.3</v>
      </c>
    </row>
    <row r="62" spans="1:33" ht="15" customHeight="1">
      <c r="A62" s="4" t="s">
        <v>11</v>
      </c>
      <c r="B62" s="22">
        <v>685.4</v>
      </c>
      <c r="C62" s="22">
        <v>1997.2</v>
      </c>
      <c r="D62" s="22"/>
      <c r="E62" s="22"/>
      <c r="F62" s="22"/>
      <c r="G62" s="22"/>
      <c r="H62" s="22"/>
      <c r="I62" s="22"/>
      <c r="J62" s="26">
        <v>3.9</v>
      </c>
      <c r="K62" s="22">
        <v>0.6</v>
      </c>
      <c r="L62" s="22">
        <v>340.5</v>
      </c>
      <c r="M62" s="22">
        <v>72.9</v>
      </c>
      <c r="N62" s="22"/>
      <c r="O62" s="27">
        <v>24.9</v>
      </c>
      <c r="P62" s="22"/>
      <c r="Q62" s="27"/>
      <c r="R62" s="22"/>
      <c r="S62" s="26">
        <v>19.4</v>
      </c>
      <c r="T62" s="26">
        <v>12.8</v>
      </c>
      <c r="U62" s="26"/>
      <c r="V62" s="26">
        <v>603.4</v>
      </c>
      <c r="W62" s="26">
        <v>6.8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1085.1999999999998</v>
      </c>
      <c r="AG62" s="22">
        <f t="shared" si="15"/>
        <v>1597.4</v>
      </c>
    </row>
    <row r="63" spans="1:34" ht="15.75">
      <c r="A63" s="3" t="s">
        <v>5</v>
      </c>
      <c r="B63" s="22">
        <v>838.3</v>
      </c>
      <c r="C63" s="22">
        <v>364.4</v>
      </c>
      <c r="D63" s="22"/>
      <c r="E63" s="22"/>
      <c r="F63" s="22"/>
      <c r="G63" s="22"/>
      <c r="H63" s="22"/>
      <c r="I63" s="22"/>
      <c r="J63" s="26"/>
      <c r="K63" s="22"/>
      <c r="L63" s="22">
        <v>300.5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8.5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309</v>
      </c>
      <c r="AG63" s="22">
        <f t="shared" si="15"/>
        <v>893.6999999999998</v>
      </c>
      <c r="AH63" s="64"/>
    </row>
    <row r="64" spans="1:34" ht="15.75">
      <c r="A64" s="3" t="s">
        <v>3</v>
      </c>
      <c r="B64" s="22">
        <v>3</v>
      </c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</v>
      </c>
      <c r="AH64" s="6"/>
    </row>
    <row r="65" spans="1:34" ht="15.75">
      <c r="A65" s="3" t="s">
        <v>1</v>
      </c>
      <c r="B65" s="22">
        <v>31.5</v>
      </c>
      <c r="C65" s="22">
        <v>31.1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>
        <v>5.8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5.8</v>
      </c>
      <c r="AG65" s="22">
        <f t="shared" si="15"/>
        <v>56.800000000000004</v>
      </c>
      <c r="AH65" s="6"/>
    </row>
    <row r="66" spans="1:33" ht="15.75">
      <c r="A66" s="3" t="s">
        <v>2</v>
      </c>
      <c r="B66" s="22">
        <v>20.2</v>
      </c>
      <c r="C66" s="22">
        <v>207.4</v>
      </c>
      <c r="D66" s="22"/>
      <c r="E66" s="22"/>
      <c r="F66" s="22"/>
      <c r="G66" s="22"/>
      <c r="H66" s="22"/>
      <c r="I66" s="22"/>
      <c r="J66" s="26">
        <v>0.8</v>
      </c>
      <c r="K66" s="22"/>
      <c r="L66" s="22"/>
      <c r="M66" s="22"/>
      <c r="N66" s="22"/>
      <c r="O66" s="27">
        <v>0.7</v>
      </c>
      <c r="P66" s="22"/>
      <c r="Q66" s="22"/>
      <c r="R66" s="22"/>
      <c r="S66" s="26">
        <v>9.2</v>
      </c>
      <c r="T66" s="26"/>
      <c r="U66" s="26"/>
      <c r="V66" s="26">
        <v>0.6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216.29999999999998</v>
      </c>
    </row>
    <row r="67" spans="1:33" ht="15.75">
      <c r="A67" s="3" t="s">
        <v>17</v>
      </c>
      <c r="B67" s="22">
        <v>0</v>
      </c>
      <c r="C67" s="22">
        <v>80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40</v>
      </c>
    </row>
    <row r="68" spans="1:33" ht="15.75">
      <c r="A68" s="3" t="s">
        <v>26</v>
      </c>
      <c r="B68" s="22">
        <f aca="true" t="shared" si="16" ref="B68:AD68">B62-B63-B66-B67-B65-B64</f>
        <v>-207.59999999999997</v>
      </c>
      <c r="C68" s="22">
        <f t="shared" si="16"/>
        <v>1314.3000000000002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3.0999999999999996</v>
      </c>
      <c r="K68" s="22">
        <f t="shared" si="16"/>
        <v>0.6</v>
      </c>
      <c r="L68" s="22">
        <f t="shared" si="16"/>
        <v>0</v>
      </c>
      <c r="M68" s="22">
        <f t="shared" si="16"/>
        <v>72.9</v>
      </c>
      <c r="N68" s="22">
        <f t="shared" si="16"/>
        <v>0</v>
      </c>
      <c r="O68" s="22">
        <f t="shared" si="16"/>
        <v>24.2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10.2</v>
      </c>
      <c r="T68" s="22">
        <f t="shared" si="16"/>
        <v>12.8</v>
      </c>
      <c r="U68" s="22">
        <f t="shared" si="16"/>
        <v>0</v>
      </c>
      <c r="V68" s="22">
        <f t="shared" si="16"/>
        <v>594.3</v>
      </c>
      <c r="W68" s="22">
        <f t="shared" si="16"/>
        <v>1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719.0999999999999</v>
      </c>
      <c r="AG68" s="22">
        <f>AG62-AG63-AG66-AG67-AG65-AG64</f>
        <v>387.6000000000003</v>
      </c>
    </row>
    <row r="69" spans="1:33" ht="31.5">
      <c r="A69" s="4" t="s">
        <v>32</v>
      </c>
      <c r="B69" s="22">
        <v>2717.8</v>
      </c>
      <c r="C69" s="22">
        <v>33.2</v>
      </c>
      <c r="D69" s="22"/>
      <c r="E69" s="22"/>
      <c r="F69" s="22"/>
      <c r="G69" s="22">
        <v>1446</v>
      </c>
      <c r="H69" s="22">
        <v>310</v>
      </c>
      <c r="I69" s="22"/>
      <c r="J69" s="26"/>
      <c r="K69" s="22"/>
      <c r="L69" s="22"/>
      <c r="M69" s="22"/>
      <c r="N69" s="22"/>
      <c r="O69" s="22"/>
      <c r="P69" s="22"/>
      <c r="Q69" s="22"/>
      <c r="R69" s="22">
        <v>974.1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2730.1</v>
      </c>
      <c r="AG69" s="30">
        <f aca="true" t="shared" si="17" ref="AG69:AG92">B69+C69-AF69</f>
        <v>20.90000000000009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1296.3</v>
      </c>
      <c r="C72" s="22">
        <v>3266.2</v>
      </c>
      <c r="D72" s="22">
        <v>0.1</v>
      </c>
      <c r="E72" s="22"/>
      <c r="F72" s="22">
        <v>71.9</v>
      </c>
      <c r="G72" s="22"/>
      <c r="H72" s="22">
        <v>2.7</v>
      </c>
      <c r="I72" s="22">
        <v>57.4</v>
      </c>
      <c r="J72" s="26">
        <v>3.2</v>
      </c>
      <c r="K72" s="22">
        <v>0.6</v>
      </c>
      <c r="L72" s="22">
        <v>32.3</v>
      </c>
      <c r="M72" s="22">
        <v>3</v>
      </c>
      <c r="N72" s="22">
        <v>2.5</v>
      </c>
      <c r="O72" s="22"/>
      <c r="P72" s="22">
        <v>9.2</v>
      </c>
      <c r="Q72" s="27">
        <v>0.2</v>
      </c>
      <c r="R72" s="22">
        <v>16.5</v>
      </c>
      <c r="S72" s="26"/>
      <c r="T72" s="26"/>
      <c r="U72" s="26"/>
      <c r="V72" s="26">
        <v>243.7</v>
      </c>
      <c r="W72" s="26">
        <v>20.6</v>
      </c>
      <c r="X72" s="22">
        <v>0.4</v>
      </c>
      <c r="Y72" s="26"/>
      <c r="Z72" s="26"/>
      <c r="AA72" s="26"/>
      <c r="AB72" s="22"/>
      <c r="AC72" s="22"/>
      <c r="AD72" s="22"/>
      <c r="AE72" s="22"/>
      <c r="AF72" s="27">
        <f t="shared" si="14"/>
        <v>464.29999999999995</v>
      </c>
      <c r="AG72" s="30">
        <f t="shared" si="17"/>
        <v>4098.2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>
        <v>17.7</v>
      </c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87.4</v>
      </c>
      <c r="C74" s="22">
        <v>354.2</v>
      </c>
      <c r="D74" s="22">
        <v>0.1</v>
      </c>
      <c r="E74" s="22"/>
      <c r="F74" s="22">
        <v>37.6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37.7</v>
      </c>
      <c r="AG74" s="30">
        <f t="shared" si="17"/>
        <v>403.90000000000003</v>
      </c>
    </row>
    <row r="75" spans="1:33" ht="15" customHeight="1">
      <c r="A75" s="3" t="s">
        <v>17</v>
      </c>
      <c r="B75" s="22">
        <v>47.2</v>
      </c>
      <c r="C75" s="22">
        <v>445.8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>
        <v>2.9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490.1</v>
      </c>
    </row>
    <row r="76" spans="1:33" s="11" customFormat="1" ht="31.5">
      <c r="A76" s="12" t="s">
        <v>21</v>
      </c>
      <c r="B76" s="22">
        <v>182.6</v>
      </c>
      <c r="C76" s="22">
        <v>366.3</v>
      </c>
      <c r="D76" s="22"/>
      <c r="E76" s="28"/>
      <c r="F76" s="28"/>
      <c r="G76" s="28"/>
      <c r="H76" s="28"/>
      <c r="I76" s="28"/>
      <c r="J76" s="29"/>
      <c r="K76" s="28"/>
      <c r="L76" s="28">
        <v>140.8</v>
      </c>
      <c r="M76" s="28"/>
      <c r="N76" s="28"/>
      <c r="O76" s="28"/>
      <c r="P76" s="28"/>
      <c r="Q76" s="31"/>
      <c r="R76" s="28"/>
      <c r="S76" s="29">
        <v>0.1</v>
      </c>
      <c r="T76" s="29"/>
      <c r="U76" s="28"/>
      <c r="V76" s="28">
        <v>38.4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179.3</v>
      </c>
      <c r="AG76" s="30">
        <f t="shared" si="17"/>
        <v>369.59999999999997</v>
      </c>
    </row>
    <row r="77" spans="1:33" s="11" customFormat="1" ht="15.75">
      <c r="A77" s="3" t="s">
        <v>5</v>
      </c>
      <c r="B77" s="22">
        <v>76.9</v>
      </c>
      <c r="C77" s="22">
        <v>0.4</v>
      </c>
      <c r="D77" s="22"/>
      <c r="E77" s="28"/>
      <c r="F77" s="28"/>
      <c r="G77" s="28"/>
      <c r="H77" s="28"/>
      <c r="I77" s="28"/>
      <c r="J77" s="29"/>
      <c r="K77" s="28"/>
      <c r="L77" s="28">
        <v>36.5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38.4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74.9</v>
      </c>
      <c r="AG77" s="30">
        <f t="shared" si="17"/>
        <v>2.4000000000000057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0.4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2.6</v>
      </c>
    </row>
    <row r="81" spans="1:33" s="11" customFormat="1" ht="15.75">
      <c r="A81" s="12" t="s">
        <v>36</v>
      </c>
      <c r="B81" s="22">
        <v>69.9</v>
      </c>
      <c r="C81" s="28">
        <v>83.7</v>
      </c>
      <c r="D81" s="28"/>
      <c r="E81" s="28"/>
      <c r="F81" s="28"/>
      <c r="G81" s="28">
        <v>16</v>
      </c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16</v>
      </c>
      <c r="AG81" s="30">
        <f t="shared" si="17"/>
        <v>137.60000000000002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2219.3-500</f>
        <v>1719.3000000000002</v>
      </c>
      <c r="C89" s="22">
        <v>3496.3</v>
      </c>
      <c r="D89" s="22"/>
      <c r="E89" s="22"/>
      <c r="F89" s="22">
        <v>1290.4</v>
      </c>
      <c r="G89" s="22">
        <v>174.7</v>
      </c>
      <c r="H89" s="22"/>
      <c r="I89" s="22">
        <v>188.9</v>
      </c>
      <c r="J89" s="22"/>
      <c r="K89" s="22">
        <v>1164.7</v>
      </c>
      <c r="L89" s="22"/>
      <c r="M89" s="22"/>
      <c r="N89" s="22"/>
      <c r="O89" s="22"/>
      <c r="P89" s="22"/>
      <c r="Q89" s="22">
        <v>122.1</v>
      </c>
      <c r="R89" s="22"/>
      <c r="S89" s="26">
        <v>3.8</v>
      </c>
      <c r="T89" s="26"/>
      <c r="U89" s="22"/>
      <c r="V89" s="22">
        <v>42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2986.6000000000004</v>
      </c>
      <c r="AG89" s="22">
        <f t="shared" si="17"/>
        <v>2229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392.5-581.4</f>
        <v>-188.89999999999998</v>
      </c>
      <c r="C91" s="22">
        <v>426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>B91+C91-AF91</f>
        <v>237.10000000000002</v>
      </c>
      <c r="AH91" s="11"/>
    </row>
    <row r="92" spans="1:34" ht="15.75">
      <c r="A92" s="4" t="s">
        <v>44</v>
      </c>
      <c r="B92" s="22">
        <f>55366.7</f>
        <v>55366.7</v>
      </c>
      <c r="C92" s="22">
        <v>3055</v>
      </c>
      <c r="D92" s="22">
        <v>2794.1</v>
      </c>
      <c r="E92" s="22"/>
      <c r="F92" s="22">
        <v>1700.9</v>
      </c>
      <c r="G92" s="22">
        <v>572.4</v>
      </c>
      <c r="H92" s="22">
        <f>2892.4+54.6</f>
        <v>2947</v>
      </c>
      <c r="I92" s="22">
        <f>5385.4+25.8</f>
        <v>5411.2</v>
      </c>
      <c r="J92" s="22">
        <v>802.6</v>
      </c>
      <c r="K92" s="22">
        <v>6.5</v>
      </c>
      <c r="L92" s="22"/>
      <c r="M92" s="22">
        <v>534.9</v>
      </c>
      <c r="N92" s="22">
        <v>2382.3</v>
      </c>
      <c r="O92" s="22">
        <v>3709.2</v>
      </c>
      <c r="P92" s="22">
        <v>3849.8</v>
      </c>
      <c r="Q92" s="22">
        <v>621.1</v>
      </c>
      <c r="R92" s="22">
        <v>1427.4</v>
      </c>
      <c r="S92" s="26">
        <v>1944.2</v>
      </c>
      <c r="T92" s="26">
        <v>2446</v>
      </c>
      <c r="U92" s="22"/>
      <c r="V92" s="22"/>
      <c r="W92" s="22">
        <v>1308.3</v>
      </c>
      <c r="X92" s="26">
        <v>4405.5</v>
      </c>
      <c r="Y92" s="26">
        <v>9588.9</v>
      </c>
      <c r="Z92" s="26"/>
      <c r="AA92" s="26"/>
      <c r="AB92" s="22"/>
      <c r="AC92" s="22"/>
      <c r="AD92" s="22"/>
      <c r="AE92" s="22"/>
      <c r="AF92" s="27">
        <f t="shared" si="14"/>
        <v>46452.299999999996</v>
      </c>
      <c r="AG92" s="22">
        <f t="shared" si="17"/>
        <v>11969.400000000001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136141</v>
      </c>
      <c r="C94" s="42">
        <f t="shared" si="18"/>
        <v>62406.1</v>
      </c>
      <c r="D94" s="42">
        <f t="shared" si="18"/>
        <v>3902.5999999999995</v>
      </c>
      <c r="E94" s="42">
        <f t="shared" si="18"/>
        <v>117.4</v>
      </c>
      <c r="F94" s="42">
        <f t="shared" si="18"/>
        <v>5939.4</v>
      </c>
      <c r="G94" s="42">
        <f t="shared" si="18"/>
        <v>2596.8</v>
      </c>
      <c r="H94" s="42">
        <f t="shared" si="18"/>
        <v>3982.5</v>
      </c>
      <c r="I94" s="42">
        <f t="shared" si="18"/>
        <v>6193.9</v>
      </c>
      <c r="J94" s="42">
        <f t="shared" si="18"/>
        <v>2204.9</v>
      </c>
      <c r="K94" s="42">
        <f t="shared" si="18"/>
        <v>16113.4</v>
      </c>
      <c r="L94" s="42">
        <f t="shared" si="18"/>
        <v>7638.900000000001</v>
      </c>
      <c r="M94" s="42">
        <f t="shared" si="18"/>
        <v>1397</v>
      </c>
      <c r="N94" s="42">
        <f t="shared" si="18"/>
        <v>2412.5</v>
      </c>
      <c r="O94" s="42">
        <f t="shared" si="18"/>
        <v>4295.9</v>
      </c>
      <c r="P94" s="42">
        <f t="shared" si="18"/>
        <v>4060.4</v>
      </c>
      <c r="Q94" s="42">
        <f t="shared" si="18"/>
        <v>3096.1</v>
      </c>
      <c r="R94" s="42">
        <f t="shared" si="18"/>
        <v>2728.2</v>
      </c>
      <c r="S94" s="42">
        <f t="shared" si="18"/>
        <v>2718</v>
      </c>
      <c r="T94" s="42">
        <f t="shared" si="18"/>
        <v>3774.6</v>
      </c>
      <c r="U94" s="42">
        <f t="shared" si="18"/>
        <v>15944.1</v>
      </c>
      <c r="V94" s="42">
        <f t="shared" si="18"/>
        <v>13993.5</v>
      </c>
      <c r="W94" s="42">
        <f t="shared" si="18"/>
        <v>2517.2</v>
      </c>
      <c r="X94" s="42">
        <f t="shared" si="18"/>
        <v>6835.700000000001</v>
      </c>
      <c r="Y94" s="42">
        <f t="shared" si="18"/>
        <v>10407.9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122870.90000000002</v>
      </c>
      <c r="AG94" s="58">
        <f>AG10+AG15+AG24+AG33+AG47+AG52+AG54+AG61+AG62+AG69+AG71+AG72+AG76+AG81+AG82+AG83+AG88+AG89+AG90+AG91+AG70+AG40+AG92</f>
        <v>75676.19999999998</v>
      </c>
    </row>
    <row r="95" spans="1:33" ht="15.75">
      <c r="A95" s="3" t="s">
        <v>5</v>
      </c>
      <c r="B95" s="22">
        <f aca="true" t="shared" si="19" ref="B95:AD95">B11+B17+B26+B34+B55+B63+B73+B41+B77+B48</f>
        <v>51352.70000000001</v>
      </c>
      <c r="C95" s="22">
        <f t="shared" si="19"/>
        <v>5829.199999999999</v>
      </c>
      <c r="D95" s="22">
        <f t="shared" si="19"/>
        <v>6.3</v>
      </c>
      <c r="E95" s="22">
        <f t="shared" si="19"/>
        <v>117.4</v>
      </c>
      <c r="F95" s="22">
        <f t="shared" si="19"/>
        <v>0</v>
      </c>
      <c r="G95" s="22">
        <f t="shared" si="19"/>
        <v>10</v>
      </c>
      <c r="H95" s="22">
        <f t="shared" si="19"/>
        <v>55.6</v>
      </c>
      <c r="I95" s="22">
        <f t="shared" si="19"/>
        <v>70</v>
      </c>
      <c r="J95" s="22">
        <f t="shared" si="19"/>
        <v>9.1</v>
      </c>
      <c r="K95" s="22">
        <f t="shared" si="19"/>
        <v>12793.5</v>
      </c>
      <c r="L95" s="22">
        <f t="shared" si="19"/>
        <v>7230.400000000001</v>
      </c>
      <c r="M95" s="22">
        <f t="shared" si="19"/>
        <v>569.2</v>
      </c>
      <c r="N95" s="22">
        <f t="shared" si="19"/>
        <v>16.1</v>
      </c>
      <c r="O95" s="22">
        <f t="shared" si="19"/>
        <v>0</v>
      </c>
      <c r="P95" s="22">
        <f t="shared" si="19"/>
        <v>1.9</v>
      </c>
      <c r="Q95" s="22">
        <f t="shared" si="19"/>
        <v>60</v>
      </c>
      <c r="R95" s="22">
        <f t="shared" si="19"/>
        <v>2.4</v>
      </c>
      <c r="S95" s="22">
        <f t="shared" si="19"/>
        <v>26.3</v>
      </c>
      <c r="T95" s="22">
        <f t="shared" si="19"/>
        <v>0</v>
      </c>
      <c r="U95" s="22">
        <f t="shared" si="19"/>
        <v>12156.699999999999</v>
      </c>
      <c r="V95" s="22">
        <f t="shared" si="19"/>
        <v>10508.6</v>
      </c>
      <c r="W95" s="22">
        <f t="shared" si="19"/>
        <v>29.4</v>
      </c>
      <c r="X95" s="22">
        <f t="shared" si="19"/>
        <v>1760.8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45423.700000000004</v>
      </c>
      <c r="AG95" s="27">
        <f>B95+C95-AF95</f>
        <v>11758.200000000004</v>
      </c>
    </row>
    <row r="96" spans="1:33" ht="15.75">
      <c r="A96" s="3" t="s">
        <v>2</v>
      </c>
      <c r="B96" s="22">
        <f aca="true" t="shared" si="20" ref="B96:AD96">B12+B20+B29+B36+B57+B66+B44+B80+B74+B53</f>
        <v>5216.699999999998</v>
      </c>
      <c r="C96" s="22">
        <f t="shared" si="20"/>
        <v>18281.800000000003</v>
      </c>
      <c r="D96" s="22">
        <f t="shared" si="20"/>
        <v>12.7</v>
      </c>
      <c r="E96" s="22">
        <f t="shared" si="20"/>
        <v>0</v>
      </c>
      <c r="F96" s="22">
        <f t="shared" si="20"/>
        <v>551.4</v>
      </c>
      <c r="G96" s="22">
        <f t="shared" si="20"/>
        <v>23.3</v>
      </c>
      <c r="H96" s="22">
        <f t="shared" si="20"/>
        <v>0.3</v>
      </c>
      <c r="I96" s="22">
        <f t="shared" si="20"/>
        <v>76.69999999999999</v>
      </c>
      <c r="J96" s="22">
        <f t="shared" si="20"/>
        <v>4.6</v>
      </c>
      <c r="K96" s="22">
        <f t="shared" si="20"/>
        <v>401.5</v>
      </c>
      <c r="L96" s="22">
        <f t="shared" si="20"/>
        <v>0</v>
      </c>
      <c r="M96" s="22">
        <f t="shared" si="20"/>
        <v>1.4</v>
      </c>
      <c r="N96" s="22">
        <f t="shared" si="20"/>
        <v>0</v>
      </c>
      <c r="O96" s="22">
        <f t="shared" si="20"/>
        <v>15.899999999999999</v>
      </c>
      <c r="P96" s="22">
        <f t="shared" si="20"/>
        <v>35.7</v>
      </c>
      <c r="Q96" s="22">
        <f t="shared" si="20"/>
        <v>358</v>
      </c>
      <c r="R96" s="22">
        <f t="shared" si="20"/>
        <v>1.3</v>
      </c>
      <c r="S96" s="22">
        <f t="shared" si="20"/>
        <v>360.6</v>
      </c>
      <c r="T96" s="22">
        <f t="shared" si="20"/>
        <v>199.79999999999998</v>
      </c>
      <c r="U96" s="22">
        <f t="shared" si="20"/>
        <v>79.4</v>
      </c>
      <c r="V96" s="22">
        <f t="shared" si="20"/>
        <v>36.7</v>
      </c>
      <c r="W96" s="22">
        <f t="shared" si="20"/>
        <v>11.899999999999999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2171.2</v>
      </c>
      <c r="AG96" s="27">
        <f>B96+C96-AF96</f>
        <v>21327.3</v>
      </c>
    </row>
    <row r="97" spans="1:33" ht="15.75">
      <c r="A97" s="3" t="s">
        <v>3</v>
      </c>
      <c r="B97" s="22">
        <f aca="true" t="shared" si="21" ref="B97:AA97">B18+B27+B42+B64+B78</f>
        <v>1959.2</v>
      </c>
      <c r="C97" s="22">
        <f t="shared" si="21"/>
        <v>2451.5</v>
      </c>
      <c r="D97" s="22">
        <f t="shared" si="21"/>
        <v>0</v>
      </c>
      <c r="E97" s="22">
        <f t="shared" si="21"/>
        <v>0</v>
      </c>
      <c r="F97" s="22">
        <f t="shared" si="21"/>
        <v>15.7</v>
      </c>
      <c r="G97" s="22">
        <f t="shared" si="21"/>
        <v>121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473.1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0.3</v>
      </c>
      <c r="P97" s="22">
        <f t="shared" si="21"/>
        <v>1.5</v>
      </c>
      <c r="Q97" s="22">
        <f t="shared" si="21"/>
        <v>686.8</v>
      </c>
      <c r="R97" s="22">
        <f t="shared" si="21"/>
        <v>0</v>
      </c>
      <c r="S97" s="22">
        <f t="shared" si="21"/>
        <v>0</v>
      </c>
      <c r="T97" s="22">
        <f t="shared" si="21"/>
        <v>2.7</v>
      </c>
      <c r="U97" s="22">
        <f t="shared" si="21"/>
        <v>662.7</v>
      </c>
      <c r="V97" s="22">
        <f t="shared" si="21"/>
        <v>47.1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2010.8999999999999</v>
      </c>
      <c r="AG97" s="27">
        <f>B97+C97-AF97</f>
        <v>2399.8</v>
      </c>
    </row>
    <row r="98" spans="1:33" ht="15.75">
      <c r="A98" s="3" t="s">
        <v>1</v>
      </c>
      <c r="B98" s="22">
        <f aca="true" t="shared" si="22" ref="B98:AD98">B19+B28+B65+B35+B43+B56+B79</f>
        <v>4205.2</v>
      </c>
      <c r="C98" s="22">
        <f t="shared" si="22"/>
        <v>3756.0999999999995</v>
      </c>
      <c r="D98" s="22">
        <f t="shared" si="22"/>
        <v>0</v>
      </c>
      <c r="E98" s="22">
        <f t="shared" si="22"/>
        <v>0</v>
      </c>
      <c r="F98" s="22">
        <f t="shared" si="22"/>
        <v>280.4</v>
      </c>
      <c r="G98" s="22">
        <f t="shared" si="22"/>
        <v>0.3</v>
      </c>
      <c r="H98" s="22">
        <f t="shared" si="22"/>
        <v>0</v>
      </c>
      <c r="I98" s="22">
        <f t="shared" si="22"/>
        <v>84.2</v>
      </c>
      <c r="J98" s="22">
        <f t="shared" si="22"/>
        <v>0</v>
      </c>
      <c r="K98" s="22">
        <f t="shared" si="22"/>
        <v>494.1</v>
      </c>
      <c r="L98" s="22">
        <f t="shared" si="22"/>
        <v>167.1</v>
      </c>
      <c r="M98" s="22">
        <f t="shared" si="22"/>
        <v>0</v>
      </c>
      <c r="N98" s="22">
        <f t="shared" si="22"/>
        <v>0</v>
      </c>
      <c r="O98" s="22">
        <f t="shared" si="22"/>
        <v>287.8</v>
      </c>
      <c r="P98" s="22">
        <f t="shared" si="22"/>
        <v>35.2</v>
      </c>
      <c r="Q98" s="22">
        <f t="shared" si="22"/>
        <v>60.2</v>
      </c>
      <c r="R98" s="22">
        <f t="shared" si="22"/>
        <v>0</v>
      </c>
      <c r="S98" s="22">
        <f t="shared" si="22"/>
        <v>180.6</v>
      </c>
      <c r="T98" s="22">
        <f t="shared" si="22"/>
        <v>4.9</v>
      </c>
      <c r="U98" s="22">
        <f t="shared" si="22"/>
        <v>11.3</v>
      </c>
      <c r="V98" s="22">
        <f t="shared" si="22"/>
        <v>189.4</v>
      </c>
      <c r="W98" s="22">
        <f t="shared" si="22"/>
        <v>677.4</v>
      </c>
      <c r="X98" s="22">
        <f t="shared" si="22"/>
        <v>489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2961.9</v>
      </c>
      <c r="AG98" s="27">
        <f>B98+C98-AF98</f>
        <v>4999.4</v>
      </c>
    </row>
    <row r="99" spans="1:33" ht="15.75">
      <c r="A99" s="3" t="s">
        <v>17</v>
      </c>
      <c r="B99" s="22">
        <f aca="true" t="shared" si="23" ref="B99:X99">B21+B30+B49+B37+B58+B13+B75+B67</f>
        <v>2663.2999999999997</v>
      </c>
      <c r="C99" s="22">
        <f t="shared" si="23"/>
        <v>5363.8</v>
      </c>
      <c r="D99" s="22">
        <f t="shared" si="23"/>
        <v>0</v>
      </c>
      <c r="E99" s="22">
        <f t="shared" si="23"/>
        <v>0</v>
      </c>
      <c r="F99" s="22">
        <f t="shared" si="23"/>
        <v>752.8</v>
      </c>
      <c r="G99" s="22">
        <f t="shared" si="23"/>
        <v>0</v>
      </c>
      <c r="H99" s="22">
        <f t="shared" si="23"/>
        <v>0</v>
      </c>
      <c r="I99" s="22">
        <f t="shared" si="23"/>
        <v>121.1</v>
      </c>
      <c r="J99" s="22">
        <f t="shared" si="23"/>
        <v>558.4</v>
      </c>
      <c r="K99" s="22">
        <f t="shared" si="23"/>
        <v>66.8</v>
      </c>
      <c r="L99" s="22">
        <f t="shared" si="23"/>
        <v>55.7</v>
      </c>
      <c r="M99" s="22">
        <f t="shared" si="23"/>
        <v>0</v>
      </c>
      <c r="N99" s="22">
        <f t="shared" si="23"/>
        <v>0</v>
      </c>
      <c r="O99" s="22">
        <f t="shared" si="23"/>
        <v>8.3</v>
      </c>
      <c r="P99" s="22">
        <f t="shared" si="23"/>
        <v>3.1</v>
      </c>
      <c r="Q99" s="22">
        <f t="shared" si="23"/>
        <v>68.6</v>
      </c>
      <c r="R99" s="22">
        <f t="shared" si="23"/>
        <v>62.9</v>
      </c>
      <c r="S99" s="22">
        <f t="shared" si="23"/>
        <v>4.2</v>
      </c>
      <c r="T99" s="22">
        <f t="shared" si="23"/>
        <v>693.5</v>
      </c>
      <c r="U99" s="22">
        <f t="shared" si="23"/>
        <v>0</v>
      </c>
      <c r="V99" s="22">
        <f t="shared" si="23"/>
        <v>1379.4</v>
      </c>
      <c r="W99" s="22">
        <f t="shared" si="23"/>
        <v>38.4</v>
      </c>
      <c r="X99" s="22">
        <f t="shared" si="23"/>
        <v>25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3838.2</v>
      </c>
      <c r="AG99" s="27">
        <f>B99+C99-AF99</f>
        <v>4188.900000000001</v>
      </c>
    </row>
    <row r="100" spans="1:33" ht="12.75">
      <c r="A100" s="1" t="s">
        <v>41</v>
      </c>
      <c r="B100" s="2">
        <f aca="true" t="shared" si="25" ref="B100:AD100">B94-B95-B96-B97-B98-B99</f>
        <v>70743.9</v>
      </c>
      <c r="C100" s="2">
        <f t="shared" si="25"/>
        <v>26723.7</v>
      </c>
      <c r="D100" s="2">
        <f t="shared" si="25"/>
        <v>3883.5999999999995</v>
      </c>
      <c r="E100" s="2">
        <f t="shared" si="25"/>
        <v>0</v>
      </c>
      <c r="F100" s="2">
        <f t="shared" si="25"/>
        <v>4339.1</v>
      </c>
      <c r="G100" s="2">
        <f t="shared" si="25"/>
        <v>2442.2</v>
      </c>
      <c r="H100" s="2">
        <f t="shared" si="25"/>
        <v>3926.6</v>
      </c>
      <c r="I100" s="2">
        <f t="shared" si="25"/>
        <v>5841.9</v>
      </c>
      <c r="J100" s="2">
        <f t="shared" si="25"/>
        <v>1632.8000000000002</v>
      </c>
      <c r="K100" s="2">
        <f t="shared" si="25"/>
        <v>1884.3999999999999</v>
      </c>
      <c r="L100" s="2">
        <f t="shared" si="25"/>
        <v>185.7</v>
      </c>
      <c r="M100" s="2">
        <f t="shared" si="25"/>
        <v>826.4</v>
      </c>
      <c r="N100" s="2">
        <f t="shared" si="25"/>
        <v>2396.4</v>
      </c>
      <c r="O100" s="2">
        <f t="shared" si="25"/>
        <v>3983.5999999999995</v>
      </c>
      <c r="P100" s="2">
        <f t="shared" si="25"/>
        <v>3983.0000000000005</v>
      </c>
      <c r="Q100" s="2">
        <f t="shared" si="25"/>
        <v>1862.5</v>
      </c>
      <c r="R100" s="2">
        <f t="shared" si="25"/>
        <v>2661.5999999999995</v>
      </c>
      <c r="S100" s="2">
        <f t="shared" si="25"/>
        <v>2146.3</v>
      </c>
      <c r="T100" s="2">
        <f t="shared" si="25"/>
        <v>2873.7</v>
      </c>
      <c r="U100" s="2">
        <f t="shared" si="25"/>
        <v>3034.000000000001</v>
      </c>
      <c r="V100" s="2">
        <f t="shared" si="25"/>
        <v>1832.2999999999997</v>
      </c>
      <c r="W100" s="2">
        <f t="shared" si="25"/>
        <v>1760.0999999999995</v>
      </c>
      <c r="X100" s="2">
        <f t="shared" si="25"/>
        <v>4560.900000000001</v>
      </c>
      <c r="Y100" s="2">
        <f t="shared" si="25"/>
        <v>10407.9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66465.00000000003</v>
      </c>
      <c r="AG100" s="2">
        <f>AG94-AG95-AG96-AG97-AG98-AG99</f>
        <v>31002.599999999977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O7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V76" sqref="V7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71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72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1716.7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>
        <v>1716.7</v>
      </c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21185.5</v>
      </c>
      <c r="D7" s="45"/>
      <c r="E7" s="46">
        <v>15204.5</v>
      </c>
      <c r="F7" s="46"/>
      <c r="G7" s="46"/>
      <c r="H7" s="74"/>
      <c r="I7" s="46"/>
      <c r="J7" s="47"/>
      <c r="K7" s="46">
        <v>15204.6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80159.40000000001</v>
      </c>
      <c r="C8" s="40">
        <v>76182.8</v>
      </c>
      <c r="D8" s="43">
        <v>7575.4</v>
      </c>
      <c r="E8" s="55">
        <v>4850.5</v>
      </c>
      <c r="F8" s="55">
        <v>2443.8</v>
      </c>
      <c r="G8" s="55">
        <v>3100.8</v>
      </c>
      <c r="H8" s="55">
        <v>3337.6</v>
      </c>
      <c r="I8" s="55">
        <v>5459.4</v>
      </c>
      <c r="J8" s="56">
        <v>3003.5</v>
      </c>
      <c r="K8" s="55">
        <v>1395.6</v>
      </c>
      <c r="L8" s="55">
        <v>1981.9</v>
      </c>
      <c r="M8" s="55">
        <v>7622.7</v>
      </c>
      <c r="N8" s="55">
        <v>2900.1</v>
      </c>
      <c r="O8" s="55">
        <v>3637.8</v>
      </c>
      <c r="P8" s="55">
        <v>3699.5</v>
      </c>
      <c r="Q8" s="55">
        <v>4436.9</v>
      </c>
      <c r="R8" s="55">
        <v>4930.2</v>
      </c>
      <c r="S8" s="57">
        <v>3637.8</v>
      </c>
      <c r="T8" s="57">
        <v>5010.3</v>
      </c>
      <c r="U8" s="55">
        <v>3135.8</v>
      </c>
      <c r="V8" s="55">
        <v>7999.8</v>
      </c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140639.3</v>
      </c>
      <c r="C9" s="24">
        <f t="shared" si="0"/>
        <v>73872.30000000002</v>
      </c>
      <c r="D9" s="24">
        <f t="shared" si="0"/>
        <v>7536.299999999999</v>
      </c>
      <c r="E9" s="24">
        <f t="shared" si="0"/>
        <v>4910.5</v>
      </c>
      <c r="F9" s="24">
        <f t="shared" si="0"/>
        <v>2443.8</v>
      </c>
      <c r="G9" s="24">
        <f t="shared" si="0"/>
        <v>3100.8</v>
      </c>
      <c r="H9" s="24">
        <f t="shared" si="0"/>
        <v>3539.5999999999995</v>
      </c>
      <c r="I9" s="24">
        <f t="shared" si="0"/>
        <v>5461</v>
      </c>
      <c r="J9" s="24">
        <f t="shared" si="0"/>
        <v>20461.7</v>
      </c>
      <c r="K9" s="24">
        <f t="shared" si="0"/>
        <v>1378.3000000000002</v>
      </c>
      <c r="L9" s="24">
        <f t="shared" si="0"/>
        <v>2025.2</v>
      </c>
      <c r="M9" s="24">
        <f t="shared" si="0"/>
        <v>7922</v>
      </c>
      <c r="N9" s="24">
        <f t="shared" si="0"/>
        <v>3173.7999999999997</v>
      </c>
      <c r="O9" s="24">
        <f t="shared" si="0"/>
        <v>3637.8</v>
      </c>
      <c r="P9" s="24">
        <f t="shared" si="0"/>
        <v>3699.5</v>
      </c>
      <c r="Q9" s="24">
        <f t="shared" si="0"/>
        <v>4445.5</v>
      </c>
      <c r="R9" s="24">
        <f t="shared" si="0"/>
        <v>5116.3</v>
      </c>
      <c r="S9" s="24">
        <f t="shared" si="0"/>
        <v>10541.999999999998</v>
      </c>
      <c r="T9" s="24">
        <f t="shared" si="0"/>
        <v>5018.2</v>
      </c>
      <c r="U9" s="24">
        <f t="shared" si="0"/>
        <v>24299.799999999996</v>
      </c>
      <c r="V9" s="24">
        <f t="shared" si="0"/>
        <v>8010.900000000001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126723.00000000001</v>
      </c>
      <c r="AG9" s="50">
        <f>AG10+AG15+AG24+AG33+AG47+AG52+AG54+AG61+AG62+AG71+AG72+AG76+AG88+AG81+AG83+AG82+AG69+AG89+AG91+AG90+AG70+AG40+AG92</f>
        <v>87788.60000000003</v>
      </c>
      <c r="AH9" s="49"/>
      <c r="AI9" s="49"/>
    </row>
    <row r="10" spans="1:33" ht="15.75">
      <c r="A10" s="4" t="s">
        <v>4</v>
      </c>
      <c r="B10" s="22">
        <f>4421.5+150.3</f>
        <v>4571.8</v>
      </c>
      <c r="C10" s="22">
        <v>4068.9</v>
      </c>
      <c r="D10" s="22"/>
      <c r="E10" s="22">
        <v>59.9</v>
      </c>
      <c r="F10" s="22">
        <v>78.1</v>
      </c>
      <c r="G10" s="22">
        <v>46.1</v>
      </c>
      <c r="H10" s="22">
        <v>71</v>
      </c>
      <c r="I10" s="22">
        <v>112.8</v>
      </c>
      <c r="J10" s="25">
        <v>550.5</v>
      </c>
      <c r="K10" s="22">
        <v>756.8</v>
      </c>
      <c r="L10" s="22">
        <v>72.8</v>
      </c>
      <c r="M10" s="22">
        <v>27.8</v>
      </c>
      <c r="N10" s="22">
        <v>30.5</v>
      </c>
      <c r="O10" s="27">
        <v>103.3</v>
      </c>
      <c r="P10" s="22">
        <v>46.5</v>
      </c>
      <c r="Q10" s="22">
        <v>25</v>
      </c>
      <c r="R10" s="22">
        <v>15.6</v>
      </c>
      <c r="S10" s="26">
        <v>5.7</v>
      </c>
      <c r="T10" s="26">
        <v>164.2</v>
      </c>
      <c r="U10" s="26">
        <v>1847.8</v>
      </c>
      <c r="V10" s="26">
        <v>521.6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4536</v>
      </c>
      <c r="AG10" s="27">
        <f>B10+C10-AF10</f>
        <v>4104.700000000001</v>
      </c>
    </row>
    <row r="11" spans="1:33" ht="15.75">
      <c r="A11" s="3" t="s">
        <v>5</v>
      </c>
      <c r="B11" s="22">
        <v>3729.5</v>
      </c>
      <c r="C11" s="22">
        <v>2108.1</v>
      </c>
      <c r="D11" s="22"/>
      <c r="E11" s="22">
        <v>47.2</v>
      </c>
      <c r="F11" s="22">
        <v>3.7</v>
      </c>
      <c r="G11" s="22">
        <v>44.6</v>
      </c>
      <c r="H11" s="22">
        <v>6.8</v>
      </c>
      <c r="I11" s="22">
        <v>29.2</v>
      </c>
      <c r="J11" s="26">
        <v>525.1</v>
      </c>
      <c r="K11" s="22">
        <v>755.5</v>
      </c>
      <c r="L11" s="22"/>
      <c r="M11" s="22"/>
      <c r="N11" s="22">
        <v>10.1</v>
      </c>
      <c r="O11" s="27"/>
      <c r="P11" s="22">
        <v>5.2</v>
      </c>
      <c r="Q11" s="22"/>
      <c r="R11" s="22"/>
      <c r="S11" s="26"/>
      <c r="T11" s="26"/>
      <c r="U11" s="26">
        <v>1823.3</v>
      </c>
      <c r="V11" s="26">
        <v>518.1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3768.7999999999997</v>
      </c>
      <c r="AG11" s="27">
        <f>B11+C11-AF11</f>
        <v>2068.8000000000006</v>
      </c>
    </row>
    <row r="12" spans="1:33" ht="15.75">
      <c r="A12" s="3" t="s">
        <v>2</v>
      </c>
      <c r="B12" s="36">
        <v>184.6</v>
      </c>
      <c r="C12" s="22">
        <v>186.8</v>
      </c>
      <c r="D12" s="22"/>
      <c r="E12" s="22"/>
      <c r="F12" s="22"/>
      <c r="G12" s="22"/>
      <c r="H12" s="22">
        <v>16.1</v>
      </c>
      <c r="I12" s="22"/>
      <c r="J12" s="26"/>
      <c r="K12" s="22"/>
      <c r="L12" s="22"/>
      <c r="M12" s="22"/>
      <c r="N12" s="22"/>
      <c r="O12" s="27"/>
      <c r="P12" s="22">
        <v>5</v>
      </c>
      <c r="Q12" s="22"/>
      <c r="R12" s="22"/>
      <c r="S12" s="26"/>
      <c r="T12" s="26">
        <v>57.9</v>
      </c>
      <c r="U12" s="26">
        <v>10.9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89.9</v>
      </c>
      <c r="AG12" s="27">
        <f>B12+C12-AF12</f>
        <v>281.5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657.7000000000002</v>
      </c>
      <c r="C14" s="22">
        <f t="shared" si="2"/>
        <v>1774.0000000000002</v>
      </c>
      <c r="D14" s="22">
        <f t="shared" si="2"/>
        <v>0</v>
      </c>
      <c r="E14" s="22">
        <f t="shared" si="2"/>
        <v>12.699999999999996</v>
      </c>
      <c r="F14" s="22">
        <f t="shared" si="2"/>
        <v>74.39999999999999</v>
      </c>
      <c r="G14" s="22">
        <f t="shared" si="2"/>
        <v>1.5</v>
      </c>
      <c r="H14" s="22">
        <f t="shared" si="2"/>
        <v>48.1</v>
      </c>
      <c r="I14" s="22">
        <f t="shared" si="2"/>
        <v>83.6</v>
      </c>
      <c r="J14" s="22">
        <f t="shared" si="2"/>
        <v>25.399999999999977</v>
      </c>
      <c r="K14" s="22">
        <f t="shared" si="2"/>
        <v>1.2999999999999545</v>
      </c>
      <c r="L14" s="22">
        <f t="shared" si="2"/>
        <v>72.8</v>
      </c>
      <c r="M14" s="22">
        <f t="shared" si="2"/>
        <v>27.8</v>
      </c>
      <c r="N14" s="22">
        <f t="shared" si="2"/>
        <v>20.4</v>
      </c>
      <c r="O14" s="22">
        <f t="shared" si="2"/>
        <v>103.3</v>
      </c>
      <c r="P14" s="22">
        <f t="shared" si="2"/>
        <v>36.3</v>
      </c>
      <c r="Q14" s="22">
        <f t="shared" si="2"/>
        <v>25</v>
      </c>
      <c r="R14" s="22">
        <f t="shared" si="2"/>
        <v>15.6</v>
      </c>
      <c r="S14" s="22">
        <f t="shared" si="2"/>
        <v>5.7</v>
      </c>
      <c r="T14" s="22">
        <f t="shared" si="2"/>
        <v>106.29999999999998</v>
      </c>
      <c r="U14" s="22">
        <f t="shared" si="2"/>
        <v>13.6</v>
      </c>
      <c r="V14" s="22">
        <f t="shared" si="2"/>
        <v>3.5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677.3</v>
      </c>
      <c r="AG14" s="27">
        <f>AG10-AG11-AG12-AG13</f>
        <v>1754.4</v>
      </c>
    </row>
    <row r="15" spans="1:33" ht="15" customHeight="1">
      <c r="A15" s="4" t="s">
        <v>6</v>
      </c>
      <c r="B15" s="22">
        <v>39036.7</v>
      </c>
      <c r="C15" s="22">
        <v>28801.5</v>
      </c>
      <c r="D15" s="44">
        <v>-0.1</v>
      </c>
      <c r="E15" s="44"/>
      <c r="F15" s="22">
        <v>131.4</v>
      </c>
      <c r="G15" s="22"/>
      <c r="H15" s="22">
        <v>895.9</v>
      </c>
      <c r="I15" s="22">
        <v>137.6</v>
      </c>
      <c r="J15" s="26">
        <v>11043.7</v>
      </c>
      <c r="K15" s="22"/>
      <c r="L15" s="22">
        <v>2.9</v>
      </c>
      <c r="M15" s="22"/>
      <c r="N15" s="22">
        <v>239.3</v>
      </c>
      <c r="O15" s="27">
        <v>1315.8</v>
      </c>
      <c r="P15" s="22"/>
      <c r="Q15" s="27">
        <v>278.4</v>
      </c>
      <c r="R15" s="22">
        <v>2025.4</v>
      </c>
      <c r="S15" s="26">
        <v>693.8</v>
      </c>
      <c r="T15" s="26">
        <v>268.2</v>
      </c>
      <c r="U15" s="26">
        <v>17968.9</v>
      </c>
      <c r="V15" s="26">
        <v>60.5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35061.7</v>
      </c>
      <c r="AG15" s="27">
        <f aca="true" t="shared" si="3" ref="AG15:AG31">B15+C15-AF15</f>
        <v>32776.5</v>
      </c>
    </row>
    <row r="16" spans="1:34" s="70" customFormat="1" ht="15" customHeight="1">
      <c r="A16" s="65" t="s">
        <v>46</v>
      </c>
      <c r="B16" s="66">
        <v>14490.1</v>
      </c>
      <c r="C16" s="66">
        <v>12746.5</v>
      </c>
      <c r="D16" s="67">
        <v>-0.1</v>
      </c>
      <c r="E16" s="67"/>
      <c r="F16" s="66"/>
      <c r="G16" s="66"/>
      <c r="H16" s="66"/>
      <c r="I16" s="66">
        <v>54.6</v>
      </c>
      <c r="J16" s="68">
        <v>5818.7</v>
      </c>
      <c r="K16" s="66"/>
      <c r="L16" s="66"/>
      <c r="M16" s="66"/>
      <c r="N16" s="66">
        <v>239.3</v>
      </c>
      <c r="O16" s="69"/>
      <c r="P16" s="66"/>
      <c r="Q16" s="69"/>
      <c r="R16" s="66">
        <v>186.1</v>
      </c>
      <c r="S16" s="68">
        <v>5.5</v>
      </c>
      <c r="T16" s="68">
        <v>5.7</v>
      </c>
      <c r="U16" s="68">
        <v>7312.3</v>
      </c>
      <c r="V16" s="68">
        <v>1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13623.1</v>
      </c>
      <c r="AG16" s="71">
        <f t="shared" si="3"/>
        <v>13613.499999999998</v>
      </c>
      <c r="AH16" s="75"/>
    </row>
    <row r="17" spans="1:34" ht="15.75">
      <c r="A17" s="3" t="s">
        <v>5</v>
      </c>
      <c r="B17" s="22">
        <f>26751.7+70.1</f>
        <v>26821.8</v>
      </c>
      <c r="C17" s="22">
        <v>3358.1</v>
      </c>
      <c r="D17" s="22">
        <v>-0.1</v>
      </c>
      <c r="E17" s="22"/>
      <c r="F17" s="22"/>
      <c r="G17" s="22"/>
      <c r="H17" s="22">
        <v>7.7</v>
      </c>
      <c r="I17" s="22"/>
      <c r="J17" s="26">
        <v>10883.1</v>
      </c>
      <c r="K17" s="22"/>
      <c r="L17" s="22"/>
      <c r="M17" s="22"/>
      <c r="N17" s="22"/>
      <c r="O17" s="27">
        <v>8.3</v>
      </c>
      <c r="P17" s="22"/>
      <c r="Q17" s="27"/>
      <c r="R17" s="22"/>
      <c r="S17" s="26"/>
      <c r="T17" s="26"/>
      <c r="U17" s="26">
        <v>17919.7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28818.7</v>
      </c>
      <c r="AG17" s="27">
        <f t="shared" si="3"/>
        <v>1361.199999999997</v>
      </c>
      <c r="AH17" s="6"/>
    </row>
    <row r="18" spans="1:33" ht="15.75">
      <c r="A18" s="3" t="s">
        <v>3</v>
      </c>
      <c r="B18" s="22">
        <v>8.4</v>
      </c>
      <c r="C18" s="22">
        <v>28.3</v>
      </c>
      <c r="D18" s="22"/>
      <c r="E18" s="22"/>
      <c r="F18" s="22"/>
      <c r="G18" s="22"/>
      <c r="H18" s="22"/>
      <c r="I18" s="22">
        <v>0.5</v>
      </c>
      <c r="J18" s="26"/>
      <c r="K18" s="22"/>
      <c r="L18" s="22"/>
      <c r="M18" s="22"/>
      <c r="N18" s="22">
        <v>2.5</v>
      </c>
      <c r="O18" s="27"/>
      <c r="P18" s="22"/>
      <c r="Q18" s="27"/>
      <c r="R18" s="22">
        <v>7.6</v>
      </c>
      <c r="S18" s="26"/>
      <c r="T18" s="26"/>
      <c r="U18" s="26"/>
      <c r="V18" s="26">
        <v>1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11.6</v>
      </c>
      <c r="AG18" s="27">
        <f t="shared" si="3"/>
        <v>25.1</v>
      </c>
    </row>
    <row r="19" spans="1:33" ht="15.75">
      <c r="A19" s="3" t="s">
        <v>1</v>
      </c>
      <c r="B19" s="22">
        <v>3431.3</v>
      </c>
      <c r="C19" s="22">
        <v>3802.6</v>
      </c>
      <c r="D19" s="22"/>
      <c r="E19" s="22"/>
      <c r="F19" s="22"/>
      <c r="G19" s="22"/>
      <c r="H19" s="22">
        <v>637.5</v>
      </c>
      <c r="I19" s="22">
        <v>6.7</v>
      </c>
      <c r="J19" s="26">
        <v>100.8</v>
      </c>
      <c r="K19" s="22"/>
      <c r="L19" s="22"/>
      <c r="M19" s="22"/>
      <c r="N19" s="22">
        <v>14.8</v>
      </c>
      <c r="O19" s="27">
        <v>555.4</v>
      </c>
      <c r="P19" s="22"/>
      <c r="Q19" s="27">
        <v>278.4</v>
      </c>
      <c r="R19" s="22">
        <v>619.6</v>
      </c>
      <c r="S19" s="26">
        <v>549.6</v>
      </c>
      <c r="T19" s="26">
        <v>169.5</v>
      </c>
      <c r="U19" s="26">
        <v>46.7</v>
      </c>
      <c r="V19" s="26">
        <v>56.8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3035.7999999999997</v>
      </c>
      <c r="AG19" s="27">
        <f t="shared" si="3"/>
        <v>4198.1</v>
      </c>
    </row>
    <row r="20" spans="1:33" ht="15.75">
      <c r="A20" s="3" t="s">
        <v>2</v>
      </c>
      <c r="B20" s="22">
        <f>6360.4-70.1</f>
        <v>6290.299999999999</v>
      </c>
      <c r="C20" s="22">
        <v>16244.9</v>
      </c>
      <c r="D20" s="22"/>
      <c r="E20" s="22"/>
      <c r="F20" s="22">
        <v>52</v>
      </c>
      <c r="G20" s="22"/>
      <c r="H20" s="22">
        <v>231</v>
      </c>
      <c r="I20" s="22">
        <v>36.6</v>
      </c>
      <c r="J20" s="26">
        <v>1.5</v>
      </c>
      <c r="K20" s="22"/>
      <c r="L20" s="22"/>
      <c r="M20" s="22"/>
      <c r="N20" s="22">
        <v>156.4</v>
      </c>
      <c r="O20" s="27">
        <v>221.8</v>
      </c>
      <c r="P20" s="22"/>
      <c r="Q20" s="27"/>
      <c r="R20" s="22">
        <v>673.5</v>
      </c>
      <c r="S20" s="26">
        <v>1.7</v>
      </c>
      <c r="T20" s="26">
        <v>0.7</v>
      </c>
      <c r="U20" s="26">
        <v>0.5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1375.7</v>
      </c>
      <c r="AG20" s="27">
        <f t="shared" si="3"/>
        <v>21159.499999999996</v>
      </c>
    </row>
    <row r="21" spans="1:33" ht="15.75">
      <c r="A21" s="3" t="s">
        <v>17</v>
      </c>
      <c r="B21" s="22">
        <v>1414.7</v>
      </c>
      <c r="C21" s="22">
        <v>1246.5</v>
      </c>
      <c r="D21" s="22"/>
      <c r="E21" s="22"/>
      <c r="F21" s="22"/>
      <c r="G21" s="22"/>
      <c r="H21" s="22"/>
      <c r="I21" s="22">
        <v>5.4</v>
      </c>
      <c r="J21" s="26"/>
      <c r="K21" s="22"/>
      <c r="L21" s="22"/>
      <c r="M21" s="22"/>
      <c r="N21" s="22"/>
      <c r="O21" s="27">
        <v>349.9</v>
      </c>
      <c r="P21" s="22"/>
      <c r="Q21" s="27"/>
      <c r="R21" s="22">
        <v>499</v>
      </c>
      <c r="S21" s="26">
        <v>136.9</v>
      </c>
      <c r="T21" s="26">
        <v>32.5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1023.6999999999999</v>
      </c>
      <c r="AG21" s="27">
        <f t="shared" si="3"/>
        <v>1637.5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1070.1999999999978</v>
      </c>
      <c r="C23" s="22">
        <f t="shared" si="4"/>
        <v>4121.100000000004</v>
      </c>
      <c r="D23" s="22">
        <f t="shared" si="4"/>
        <v>0</v>
      </c>
      <c r="E23" s="22">
        <f t="shared" si="4"/>
        <v>0</v>
      </c>
      <c r="F23" s="22">
        <f t="shared" si="4"/>
        <v>79.4</v>
      </c>
      <c r="G23" s="22">
        <f t="shared" si="4"/>
        <v>0</v>
      </c>
      <c r="H23" s="22">
        <f t="shared" si="4"/>
        <v>19.699999999999932</v>
      </c>
      <c r="I23" s="22">
        <f t="shared" si="4"/>
        <v>88.4</v>
      </c>
      <c r="J23" s="22">
        <f t="shared" si="4"/>
        <v>58.30000000000037</v>
      </c>
      <c r="K23" s="22">
        <f t="shared" si="4"/>
        <v>0</v>
      </c>
      <c r="L23" s="22">
        <f t="shared" si="4"/>
        <v>2.9</v>
      </c>
      <c r="M23" s="22">
        <f t="shared" si="4"/>
        <v>0</v>
      </c>
      <c r="N23" s="22">
        <f t="shared" si="4"/>
        <v>65.6</v>
      </c>
      <c r="O23" s="22">
        <f t="shared" si="4"/>
        <v>180.39999999999998</v>
      </c>
      <c r="P23" s="22">
        <f t="shared" si="4"/>
        <v>0</v>
      </c>
      <c r="Q23" s="22">
        <f t="shared" si="4"/>
        <v>0</v>
      </c>
      <c r="R23" s="22">
        <f t="shared" si="4"/>
        <v>225.70000000000027</v>
      </c>
      <c r="S23" s="22">
        <f t="shared" si="4"/>
        <v>5.5999999999999375</v>
      </c>
      <c r="T23" s="22">
        <f t="shared" si="4"/>
        <v>65.49999999999999</v>
      </c>
      <c r="U23" s="22">
        <f t="shared" si="4"/>
        <v>2.0000000000007248</v>
      </c>
      <c r="V23" s="22">
        <f t="shared" si="4"/>
        <v>2.700000000000003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796.2000000000012</v>
      </c>
      <c r="AG23" s="27">
        <f t="shared" si="3"/>
        <v>4395.1</v>
      </c>
    </row>
    <row r="24" spans="1:33" ht="15" customHeight="1">
      <c r="A24" s="4" t="s">
        <v>7</v>
      </c>
      <c r="B24" s="22">
        <v>20906.8</v>
      </c>
      <c r="C24" s="22">
        <v>13682.1</v>
      </c>
      <c r="D24" s="22"/>
      <c r="E24" s="22"/>
      <c r="F24" s="22"/>
      <c r="G24" s="22"/>
      <c r="H24" s="22">
        <v>179.9</v>
      </c>
      <c r="I24" s="22"/>
      <c r="J24" s="26">
        <v>6951.5</v>
      </c>
      <c r="K24" s="22"/>
      <c r="L24" s="22">
        <f>211.7+3.3</f>
        <v>215</v>
      </c>
      <c r="M24" s="22">
        <v>299.4</v>
      </c>
      <c r="N24" s="22">
        <v>5</v>
      </c>
      <c r="O24" s="27"/>
      <c r="P24" s="22"/>
      <c r="Q24" s="27">
        <v>52.8</v>
      </c>
      <c r="R24" s="27"/>
      <c r="S24" s="26">
        <v>6881.4</v>
      </c>
      <c r="T24" s="26">
        <v>4006.9</v>
      </c>
      <c r="U24" s="26">
        <v>52.5</v>
      </c>
      <c r="V24" s="26">
        <v>0.7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18645.100000000002</v>
      </c>
      <c r="AG24" s="27">
        <f t="shared" si="3"/>
        <v>15943.8</v>
      </c>
    </row>
    <row r="25" spans="1:34" s="70" customFormat="1" ht="15" customHeight="1">
      <c r="A25" s="65" t="s">
        <v>47</v>
      </c>
      <c r="B25" s="66">
        <v>15919</v>
      </c>
      <c r="C25" s="66">
        <v>8097.5</v>
      </c>
      <c r="D25" s="66"/>
      <c r="E25" s="66"/>
      <c r="F25" s="66"/>
      <c r="G25" s="66"/>
      <c r="H25" s="66">
        <v>179.9</v>
      </c>
      <c r="I25" s="66"/>
      <c r="J25" s="68">
        <v>6951.5</v>
      </c>
      <c r="K25" s="66"/>
      <c r="L25" s="66">
        <v>3.3</v>
      </c>
      <c r="M25" s="66">
        <v>299.4</v>
      </c>
      <c r="N25" s="66">
        <v>5</v>
      </c>
      <c r="O25" s="69"/>
      <c r="P25" s="66"/>
      <c r="Q25" s="69"/>
      <c r="R25" s="69"/>
      <c r="S25" s="68">
        <v>6881.4</v>
      </c>
      <c r="T25" s="68">
        <v>9.8</v>
      </c>
      <c r="U25" s="68">
        <v>11.6</v>
      </c>
      <c r="V25" s="68">
        <v>0.5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14342.4</v>
      </c>
      <c r="AG25" s="71">
        <f t="shared" si="3"/>
        <v>9674.1</v>
      </c>
      <c r="AH25" s="75"/>
    </row>
    <row r="26" spans="1:34" ht="15.75">
      <c r="A26" s="3" t="s">
        <v>5</v>
      </c>
      <c r="B26" s="22">
        <v>15552.9</v>
      </c>
      <c r="C26" s="22">
        <v>1823</v>
      </c>
      <c r="D26" s="22"/>
      <c r="E26" s="22"/>
      <c r="F26" s="22"/>
      <c r="G26" s="22"/>
      <c r="H26" s="22"/>
      <c r="I26" s="22"/>
      <c r="J26" s="26">
        <v>6252.1</v>
      </c>
      <c r="K26" s="22"/>
      <c r="L26" s="22">
        <v>3.3</v>
      </c>
      <c r="M26" s="22"/>
      <c r="N26" s="22"/>
      <c r="O26" s="27"/>
      <c r="P26" s="22"/>
      <c r="Q26" s="27"/>
      <c r="R26" s="22"/>
      <c r="S26" s="26">
        <v>5936.1</v>
      </c>
      <c r="T26" s="26">
        <v>3370.3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15561.8</v>
      </c>
      <c r="AG26" s="27">
        <f t="shared" si="3"/>
        <v>1814.1000000000022</v>
      </c>
      <c r="AH26" s="6"/>
    </row>
    <row r="27" spans="1:33" ht="15.75">
      <c r="A27" s="3" t="s">
        <v>3</v>
      </c>
      <c r="B27" s="22">
        <v>1484.5</v>
      </c>
      <c r="C27" s="22">
        <v>2327.5</v>
      </c>
      <c r="D27" s="22"/>
      <c r="E27" s="22"/>
      <c r="F27" s="22"/>
      <c r="G27" s="22"/>
      <c r="H27" s="22">
        <v>1</v>
      </c>
      <c r="I27" s="22"/>
      <c r="J27" s="26">
        <v>217</v>
      </c>
      <c r="K27" s="22"/>
      <c r="L27" s="22">
        <v>189.1</v>
      </c>
      <c r="M27" s="22">
        <v>64.2</v>
      </c>
      <c r="N27" s="22"/>
      <c r="O27" s="27"/>
      <c r="P27" s="22"/>
      <c r="Q27" s="27">
        <v>52.8</v>
      </c>
      <c r="R27" s="22"/>
      <c r="S27" s="26">
        <v>268.3</v>
      </c>
      <c r="T27" s="26">
        <v>247.3</v>
      </c>
      <c r="U27" s="26">
        <v>5.2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1044.9</v>
      </c>
      <c r="AG27" s="27">
        <f t="shared" si="3"/>
        <v>2767.1</v>
      </c>
    </row>
    <row r="28" spans="1:33" ht="15.75">
      <c r="A28" s="3" t="s">
        <v>1</v>
      </c>
      <c r="B28" s="22">
        <v>536.3</v>
      </c>
      <c r="C28" s="22">
        <v>24.7</v>
      </c>
      <c r="D28" s="22"/>
      <c r="E28" s="22"/>
      <c r="F28" s="22"/>
      <c r="G28" s="22"/>
      <c r="H28" s="22"/>
      <c r="I28" s="22"/>
      <c r="J28" s="26">
        <v>70.1</v>
      </c>
      <c r="K28" s="22"/>
      <c r="L28" s="22"/>
      <c r="M28" s="22">
        <v>97.5</v>
      </c>
      <c r="N28" s="22"/>
      <c r="O28" s="27"/>
      <c r="P28" s="22"/>
      <c r="Q28" s="27"/>
      <c r="R28" s="22"/>
      <c r="S28" s="26">
        <v>141.1</v>
      </c>
      <c r="T28" s="26">
        <v>197.6</v>
      </c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506.29999999999995</v>
      </c>
      <c r="AG28" s="27">
        <f t="shared" si="3"/>
        <v>54.700000000000045</v>
      </c>
    </row>
    <row r="29" spans="1:33" ht="15.75">
      <c r="A29" s="3" t="s">
        <v>2</v>
      </c>
      <c r="B29" s="22">
        <v>2345.1</v>
      </c>
      <c r="C29" s="22">
        <v>2838.9</v>
      </c>
      <c r="D29" s="22"/>
      <c r="E29" s="22"/>
      <c r="F29" s="22"/>
      <c r="G29" s="22"/>
      <c r="H29" s="22">
        <v>18.1</v>
      </c>
      <c r="I29" s="22"/>
      <c r="J29" s="26">
        <v>333.9</v>
      </c>
      <c r="K29" s="22"/>
      <c r="L29" s="22"/>
      <c r="M29" s="22">
        <v>6.4</v>
      </c>
      <c r="N29" s="22"/>
      <c r="O29" s="27"/>
      <c r="P29" s="22"/>
      <c r="Q29" s="27"/>
      <c r="R29" s="22"/>
      <c r="S29" s="26">
        <v>365.2</v>
      </c>
      <c r="T29" s="26">
        <v>149.9</v>
      </c>
      <c r="U29" s="26">
        <v>2.3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875.7999999999998</v>
      </c>
      <c r="AG29" s="27">
        <f t="shared" si="3"/>
        <v>4308.2</v>
      </c>
    </row>
    <row r="30" spans="1:33" ht="15.75">
      <c r="A30" s="3" t="s">
        <v>17</v>
      </c>
      <c r="B30" s="22">
        <v>134.1</v>
      </c>
      <c r="C30" s="22">
        <v>93.5</v>
      </c>
      <c r="D30" s="22"/>
      <c r="E30" s="22"/>
      <c r="F30" s="22"/>
      <c r="G30" s="22"/>
      <c r="H30" s="22"/>
      <c r="I30" s="22"/>
      <c r="J30" s="26">
        <v>18.6</v>
      </c>
      <c r="K30" s="22"/>
      <c r="L30" s="22"/>
      <c r="M30" s="22">
        <v>90</v>
      </c>
      <c r="N30" s="22">
        <v>2.2</v>
      </c>
      <c r="O30" s="27"/>
      <c r="P30" s="22"/>
      <c r="Q30" s="27"/>
      <c r="R30" s="22"/>
      <c r="S30" s="26">
        <v>13.7</v>
      </c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124.5</v>
      </c>
      <c r="AG30" s="27">
        <f t="shared" si="3"/>
        <v>103.1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853.8999999999995</v>
      </c>
      <c r="C32" s="22">
        <f t="shared" si="5"/>
        <v>6574.5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160.8</v>
      </c>
      <c r="I32" s="22">
        <f t="shared" si="5"/>
        <v>0</v>
      </c>
      <c r="J32" s="22">
        <f t="shared" si="5"/>
        <v>59.799999999999635</v>
      </c>
      <c r="K32" s="22">
        <f t="shared" si="5"/>
        <v>0</v>
      </c>
      <c r="L32" s="22">
        <f t="shared" si="5"/>
        <v>22.599999999999994</v>
      </c>
      <c r="M32" s="22">
        <f t="shared" si="5"/>
        <v>41.29999999999998</v>
      </c>
      <c r="N32" s="22">
        <f t="shared" si="5"/>
        <v>2.8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156.99999999999932</v>
      </c>
      <c r="T32" s="22">
        <f t="shared" si="5"/>
        <v>41.7999999999999</v>
      </c>
      <c r="U32" s="22">
        <f t="shared" si="5"/>
        <v>45</v>
      </c>
      <c r="V32" s="22">
        <f t="shared" si="5"/>
        <v>0.7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531.7999999999989</v>
      </c>
      <c r="AG32" s="27">
        <f>AG24-AG26-AG27-AG28-AG29-AG30-AG31</f>
        <v>6896.599999999996</v>
      </c>
    </row>
    <row r="33" spans="1:33" ht="15" customHeight="1">
      <c r="A33" s="4" t="s">
        <v>8</v>
      </c>
      <c r="B33" s="22">
        <v>200</v>
      </c>
      <c r="C33" s="22">
        <v>994</v>
      </c>
      <c r="D33" s="22"/>
      <c r="E33" s="22"/>
      <c r="F33" s="22"/>
      <c r="G33" s="22"/>
      <c r="H33" s="22"/>
      <c r="I33" s="22"/>
      <c r="J33" s="26"/>
      <c r="K33" s="22">
        <v>41.9</v>
      </c>
      <c r="L33" s="22"/>
      <c r="M33" s="22">
        <v>0.3</v>
      </c>
      <c r="N33" s="22"/>
      <c r="O33" s="27"/>
      <c r="P33" s="22"/>
      <c r="Q33" s="27">
        <v>9.2</v>
      </c>
      <c r="R33" s="22"/>
      <c r="S33" s="26"/>
      <c r="T33" s="26">
        <v>0.9</v>
      </c>
      <c r="U33" s="26">
        <v>86.5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138.79999999999998</v>
      </c>
      <c r="AG33" s="27">
        <f aca="true" t="shared" si="6" ref="AG33:AG38">B33+C33-AF33</f>
        <v>1055.2</v>
      </c>
    </row>
    <row r="34" spans="1:33" ht="15.75">
      <c r="A34" s="3" t="s">
        <v>5</v>
      </c>
      <c r="B34" s="22">
        <f>129.7+1</f>
        <v>130.7</v>
      </c>
      <c r="C34" s="22">
        <v>30.9</v>
      </c>
      <c r="D34" s="22"/>
      <c r="E34" s="22"/>
      <c r="F34" s="22"/>
      <c r="G34" s="22"/>
      <c r="H34" s="22"/>
      <c r="I34" s="22"/>
      <c r="J34" s="26"/>
      <c r="K34" s="22">
        <v>41.9</v>
      </c>
      <c r="L34" s="22"/>
      <c r="M34" s="22"/>
      <c r="N34" s="22"/>
      <c r="O34" s="22"/>
      <c r="P34" s="22"/>
      <c r="Q34" s="27"/>
      <c r="R34" s="22"/>
      <c r="S34" s="26"/>
      <c r="T34" s="26"/>
      <c r="U34" s="26">
        <v>86.5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128.4</v>
      </c>
      <c r="AG34" s="27">
        <f t="shared" si="6"/>
        <v>33.19999999999999</v>
      </c>
    </row>
    <row r="35" spans="1:33" ht="15.75">
      <c r="A35" s="3" t="s">
        <v>1</v>
      </c>
      <c r="B35" s="22">
        <v>0</v>
      </c>
      <c r="C35" s="22">
        <v>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0.1</v>
      </c>
    </row>
    <row r="36" spans="1:33" ht="15.75">
      <c r="A36" s="3" t="s">
        <v>2</v>
      </c>
      <c r="B36" s="44">
        <f>61.3-1</f>
        <v>60.3</v>
      </c>
      <c r="C36" s="22">
        <v>173.3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>
        <v>5.5</v>
      </c>
      <c r="R36" s="22"/>
      <c r="S36" s="26"/>
      <c r="T36" s="26">
        <v>0.2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5.7</v>
      </c>
      <c r="AG36" s="27">
        <f t="shared" si="6"/>
        <v>227.90000000000003</v>
      </c>
    </row>
    <row r="37" spans="1:33" ht="15.75">
      <c r="A37" s="3" t="s">
        <v>17</v>
      </c>
      <c r="B37" s="22">
        <v>0</v>
      </c>
      <c r="C37" s="22">
        <v>756.8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756.8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9.000000000000014</v>
      </c>
      <c r="C39" s="22">
        <f t="shared" si="7"/>
        <v>32.9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0.3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3.6999999999999993</v>
      </c>
      <c r="R39" s="22">
        <f t="shared" si="7"/>
        <v>0</v>
      </c>
      <c r="S39" s="22">
        <f t="shared" si="7"/>
        <v>0</v>
      </c>
      <c r="T39" s="22">
        <f t="shared" si="7"/>
        <v>0.7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4.699999999999999</v>
      </c>
      <c r="AG39" s="27">
        <f>AG33-AG34-AG36-AG38-AG35-AG37</f>
        <v>37.19999999999993</v>
      </c>
    </row>
    <row r="40" spans="1:33" ht="15" customHeight="1">
      <c r="A40" s="4" t="s">
        <v>33</v>
      </c>
      <c r="B40" s="22">
        <v>640.9</v>
      </c>
      <c r="C40" s="22">
        <v>149.9</v>
      </c>
      <c r="D40" s="22"/>
      <c r="E40" s="22"/>
      <c r="F40" s="22"/>
      <c r="G40" s="22"/>
      <c r="H40" s="22"/>
      <c r="I40" s="22"/>
      <c r="J40" s="26">
        <v>242</v>
      </c>
      <c r="K40" s="22">
        <v>0.2</v>
      </c>
      <c r="L40" s="22"/>
      <c r="M40" s="22"/>
      <c r="N40" s="22"/>
      <c r="O40" s="27"/>
      <c r="P40" s="22"/>
      <c r="Q40" s="27">
        <v>6.6</v>
      </c>
      <c r="R40" s="27"/>
      <c r="S40" s="26">
        <v>3.4</v>
      </c>
      <c r="T40" s="26">
        <v>1</v>
      </c>
      <c r="U40" s="26">
        <v>383.3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636.5</v>
      </c>
      <c r="AG40" s="27">
        <f aca="true" t="shared" si="8" ref="AG40:AG45">B40+C40-AF40</f>
        <v>154.29999999999995</v>
      </c>
    </row>
    <row r="41" spans="1:34" ht="15.75">
      <c r="A41" s="3" t="s">
        <v>5</v>
      </c>
      <c r="B41" s="22">
        <v>569.9</v>
      </c>
      <c r="C41" s="22">
        <v>78</v>
      </c>
      <c r="D41" s="22"/>
      <c r="E41" s="22"/>
      <c r="F41" s="22"/>
      <c r="G41" s="22"/>
      <c r="H41" s="22"/>
      <c r="I41" s="22"/>
      <c r="J41" s="26">
        <v>213.9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>
        <v>383.3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597.2</v>
      </c>
      <c r="AG41" s="27">
        <f t="shared" si="8"/>
        <v>50.69999999999993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3.9</v>
      </c>
      <c r="D43" s="22"/>
      <c r="E43" s="22"/>
      <c r="F43" s="22"/>
      <c r="G43" s="22"/>
      <c r="H43" s="22"/>
      <c r="I43" s="22"/>
      <c r="J43" s="26">
        <v>6.4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4.5</v>
      </c>
    </row>
    <row r="44" spans="1:33" ht="15.75">
      <c r="A44" s="3" t="s">
        <v>2</v>
      </c>
      <c r="B44" s="22">
        <v>36.9</v>
      </c>
      <c r="C44" s="22">
        <v>32.5</v>
      </c>
      <c r="D44" s="22"/>
      <c r="E44" s="22"/>
      <c r="F44" s="22"/>
      <c r="G44" s="22"/>
      <c r="H44" s="22"/>
      <c r="I44" s="22"/>
      <c r="J44" s="26">
        <v>0.6</v>
      </c>
      <c r="K44" s="22"/>
      <c r="L44" s="22"/>
      <c r="M44" s="22"/>
      <c r="N44" s="22"/>
      <c r="O44" s="27"/>
      <c r="P44" s="22"/>
      <c r="Q44" s="22">
        <v>5.1</v>
      </c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5.699999999999999</v>
      </c>
      <c r="AG44" s="27">
        <f t="shared" si="8"/>
        <v>63.7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27.1</v>
      </c>
      <c r="C46" s="22">
        <f t="shared" si="10"/>
        <v>35.5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21.099999999999994</v>
      </c>
      <c r="K46" s="22">
        <f t="shared" si="10"/>
        <v>0.2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1.5</v>
      </c>
      <c r="R46" s="22">
        <f t="shared" si="10"/>
        <v>0</v>
      </c>
      <c r="S46" s="22">
        <f t="shared" si="10"/>
        <v>3.4</v>
      </c>
      <c r="T46" s="22">
        <f t="shared" si="10"/>
        <v>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27.199999999999992</v>
      </c>
      <c r="AG46" s="27">
        <f>AG40-AG41-AG42-AG43-AG44-AG45</f>
        <v>35.40000000000002</v>
      </c>
    </row>
    <row r="47" spans="1:33" ht="17.25" customHeight="1">
      <c r="A47" s="4" t="s">
        <v>70</v>
      </c>
      <c r="B47" s="36">
        <f>821.9+6</f>
        <v>827.9</v>
      </c>
      <c r="C47" s="22">
        <v>1983.8</v>
      </c>
      <c r="D47" s="22"/>
      <c r="E47" s="28">
        <v>10.7</v>
      </c>
      <c r="F47" s="28">
        <v>20.3</v>
      </c>
      <c r="G47" s="28">
        <v>13</v>
      </c>
      <c r="H47" s="28"/>
      <c r="I47" s="28">
        <v>179</v>
      </c>
      <c r="J47" s="29">
        <v>16.4</v>
      </c>
      <c r="K47" s="28"/>
      <c r="L47" s="28"/>
      <c r="M47" s="28">
        <v>2</v>
      </c>
      <c r="N47" s="28"/>
      <c r="O47" s="31">
        <v>1.8</v>
      </c>
      <c r="P47" s="28"/>
      <c r="Q47" s="28">
        <v>74.8</v>
      </c>
      <c r="R47" s="28">
        <v>3.8</v>
      </c>
      <c r="S47" s="29">
        <v>60.7</v>
      </c>
      <c r="T47" s="29">
        <v>62.9</v>
      </c>
      <c r="U47" s="28">
        <v>61.1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506.5</v>
      </c>
      <c r="AG47" s="27">
        <f>B47+C47-AF47</f>
        <v>2305.2</v>
      </c>
    </row>
    <row r="48" spans="1:33" ht="15.75">
      <c r="A48" s="3" t="s">
        <v>5</v>
      </c>
      <c r="B48" s="22">
        <v>31.2</v>
      </c>
      <c r="C48" s="22">
        <v>0.3</v>
      </c>
      <c r="D48" s="22"/>
      <c r="E48" s="28"/>
      <c r="F48" s="28">
        <v>16.3</v>
      </c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16.3</v>
      </c>
      <c r="AG48" s="27">
        <f>B48+C48-AF48</f>
        <v>15.2</v>
      </c>
    </row>
    <row r="49" spans="1:33" ht="15.75">
      <c r="A49" s="3" t="s">
        <v>17</v>
      </c>
      <c r="B49" s="22">
        <f>669+6</f>
        <v>675</v>
      </c>
      <c r="C49" s="22">
        <v>1285.2</v>
      </c>
      <c r="D49" s="22"/>
      <c r="E49" s="22"/>
      <c r="F49" s="22">
        <v>1.8</v>
      </c>
      <c r="G49" s="22"/>
      <c r="H49" s="22"/>
      <c r="I49" s="22">
        <v>178.8</v>
      </c>
      <c r="J49" s="26">
        <v>16.4</v>
      </c>
      <c r="K49" s="22"/>
      <c r="L49" s="22"/>
      <c r="M49" s="22">
        <v>2</v>
      </c>
      <c r="N49" s="22"/>
      <c r="O49" s="27">
        <v>1.8</v>
      </c>
      <c r="P49" s="22"/>
      <c r="Q49" s="22">
        <v>69.8</v>
      </c>
      <c r="R49" s="22">
        <v>3.8</v>
      </c>
      <c r="S49" s="26">
        <v>60.7</v>
      </c>
      <c r="T49" s="26">
        <v>13.3</v>
      </c>
      <c r="U49" s="22">
        <v>54.1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402.50000000000006</v>
      </c>
      <c r="AG49" s="27">
        <f>B49+C49-AF49</f>
        <v>1557.7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121.69999999999993</v>
      </c>
      <c r="C51" s="22">
        <f t="shared" si="11"/>
        <v>698.3</v>
      </c>
      <c r="D51" s="22">
        <f t="shared" si="11"/>
        <v>0</v>
      </c>
      <c r="E51" s="22">
        <f t="shared" si="11"/>
        <v>10.7</v>
      </c>
      <c r="F51" s="22">
        <f t="shared" si="11"/>
        <v>2.2</v>
      </c>
      <c r="G51" s="22">
        <f t="shared" si="11"/>
        <v>13</v>
      </c>
      <c r="H51" s="22">
        <f t="shared" si="11"/>
        <v>0</v>
      </c>
      <c r="I51" s="22">
        <f t="shared" si="11"/>
        <v>0.19999999999998863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5</v>
      </c>
      <c r="R51" s="22">
        <f t="shared" si="11"/>
        <v>0</v>
      </c>
      <c r="S51" s="22">
        <f t="shared" si="11"/>
        <v>0</v>
      </c>
      <c r="T51" s="22">
        <f t="shared" si="11"/>
        <v>49.599999999999994</v>
      </c>
      <c r="U51" s="22">
        <f t="shared" si="11"/>
        <v>7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87.69999999999999</v>
      </c>
      <c r="AG51" s="27">
        <f>AG47-AG49-AG48</f>
        <v>732.2999999999997</v>
      </c>
    </row>
    <row r="52" spans="1:33" ht="15" customHeight="1">
      <c r="A52" s="4" t="s">
        <v>0</v>
      </c>
      <c r="B52" s="22">
        <f>5255.7+250+500</f>
        <v>6005.7</v>
      </c>
      <c r="C52" s="22">
        <v>3223.9</v>
      </c>
      <c r="D52" s="22"/>
      <c r="E52" s="22">
        <v>2528.3</v>
      </c>
      <c r="F52" s="22">
        <v>1004.6</v>
      </c>
      <c r="G52" s="22"/>
      <c r="H52" s="22">
        <v>206.7</v>
      </c>
      <c r="I52" s="22">
        <v>0.8</v>
      </c>
      <c r="J52" s="26">
        <v>96.1</v>
      </c>
      <c r="K52" s="22"/>
      <c r="L52" s="22">
        <v>194.7</v>
      </c>
      <c r="M52" s="22"/>
      <c r="N52" s="22">
        <v>14.8</v>
      </c>
      <c r="O52" s="27"/>
      <c r="P52" s="22">
        <v>157.3</v>
      </c>
      <c r="Q52" s="22">
        <v>441.3</v>
      </c>
      <c r="R52" s="22">
        <v>104.7</v>
      </c>
      <c r="S52" s="26">
        <v>123.9</v>
      </c>
      <c r="T52" s="26">
        <v>144.5</v>
      </c>
      <c r="U52" s="26">
        <v>1256.9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6274.6</v>
      </c>
      <c r="AG52" s="27">
        <f aca="true" t="shared" si="12" ref="AG52:AG59">B52+C52-AF52</f>
        <v>2955</v>
      </c>
    </row>
    <row r="53" spans="1:33" ht="15" customHeight="1">
      <c r="A53" s="3" t="s">
        <v>2</v>
      </c>
      <c r="B53" s="22">
        <v>985.3</v>
      </c>
      <c r="C53" s="22">
        <v>610.3</v>
      </c>
      <c r="D53" s="22"/>
      <c r="E53" s="22"/>
      <c r="F53" s="22">
        <v>517.7</v>
      </c>
      <c r="G53" s="22"/>
      <c r="H53" s="22">
        <v>29.4</v>
      </c>
      <c r="I53" s="22"/>
      <c r="J53" s="26"/>
      <c r="K53" s="22"/>
      <c r="L53" s="22">
        <v>13.1</v>
      </c>
      <c r="M53" s="22"/>
      <c r="N53" s="22">
        <v>5</v>
      </c>
      <c r="O53" s="27"/>
      <c r="P53" s="22"/>
      <c r="Q53" s="22"/>
      <c r="R53" s="22"/>
      <c r="S53" s="26">
        <v>72.5</v>
      </c>
      <c r="T53" s="26">
        <v>64.2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701.9000000000001</v>
      </c>
      <c r="AG53" s="27">
        <f t="shared" si="12"/>
        <v>893.6999999999998</v>
      </c>
    </row>
    <row r="54" spans="1:34" ht="15" customHeight="1">
      <c r="A54" s="4" t="s">
        <v>9</v>
      </c>
      <c r="B54" s="44">
        <v>3913.7</v>
      </c>
      <c r="C54" s="22">
        <v>2199.5</v>
      </c>
      <c r="D54" s="22"/>
      <c r="E54" s="22">
        <v>120.9</v>
      </c>
      <c r="F54" s="22">
        <v>152.8</v>
      </c>
      <c r="G54" s="22">
        <v>6.6</v>
      </c>
      <c r="H54" s="22">
        <v>6</v>
      </c>
      <c r="I54" s="22"/>
      <c r="J54" s="26">
        <v>1422.9</v>
      </c>
      <c r="K54" s="22"/>
      <c r="L54" s="22">
        <v>3.8</v>
      </c>
      <c r="M54" s="22">
        <v>0.2</v>
      </c>
      <c r="N54" s="22">
        <v>60.7</v>
      </c>
      <c r="O54" s="27">
        <v>4.5</v>
      </c>
      <c r="P54" s="22">
        <v>56.1</v>
      </c>
      <c r="Q54" s="27">
        <v>22.2</v>
      </c>
      <c r="R54" s="22">
        <v>23.9</v>
      </c>
      <c r="S54" s="26">
        <v>19.9</v>
      </c>
      <c r="T54" s="26">
        <v>0.3</v>
      </c>
      <c r="U54" s="26">
        <v>1776.6</v>
      </c>
      <c r="V54" s="26">
        <v>10.6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3688.0000000000005</v>
      </c>
      <c r="AG54" s="22">
        <f t="shared" si="12"/>
        <v>2425.1999999999994</v>
      </c>
      <c r="AH54" s="6"/>
    </row>
    <row r="55" spans="1:34" ht="15.75">
      <c r="A55" s="3" t="s">
        <v>5</v>
      </c>
      <c r="B55" s="22">
        <v>3011.6</v>
      </c>
      <c r="C55" s="22">
        <v>872.8</v>
      </c>
      <c r="D55" s="22"/>
      <c r="E55" s="22"/>
      <c r="F55" s="22"/>
      <c r="G55" s="22"/>
      <c r="H55" s="22"/>
      <c r="I55" s="22"/>
      <c r="J55" s="26">
        <v>1421.2</v>
      </c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1707.9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3129.1000000000004</v>
      </c>
      <c r="AG55" s="22">
        <f t="shared" si="12"/>
        <v>755.2999999999993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303.3</v>
      </c>
      <c r="C57" s="22">
        <v>630.2</v>
      </c>
      <c r="D57" s="22"/>
      <c r="E57" s="22">
        <v>1.8</v>
      </c>
      <c r="F57" s="22">
        <v>0.3</v>
      </c>
      <c r="G57" s="22">
        <v>0.2</v>
      </c>
      <c r="H57" s="22">
        <v>5.6</v>
      </c>
      <c r="I57" s="22"/>
      <c r="J57" s="26"/>
      <c r="K57" s="22"/>
      <c r="L57" s="22"/>
      <c r="M57" s="22"/>
      <c r="N57" s="22"/>
      <c r="O57" s="27">
        <v>0.9</v>
      </c>
      <c r="P57" s="22">
        <v>0.7</v>
      </c>
      <c r="Q57" s="27">
        <v>0.3</v>
      </c>
      <c r="R57" s="22">
        <v>11.3</v>
      </c>
      <c r="S57" s="26">
        <v>12</v>
      </c>
      <c r="T57" s="26">
        <v>0.3</v>
      </c>
      <c r="U57" s="26">
        <v>0.7</v>
      </c>
      <c r="V57" s="26">
        <v>3.1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37.2</v>
      </c>
      <c r="AG57" s="22">
        <f t="shared" si="12"/>
        <v>896.3</v>
      </c>
    </row>
    <row r="58" spans="1:33" ht="15.75">
      <c r="A58" s="3" t="s">
        <v>17</v>
      </c>
      <c r="B58" s="36">
        <v>15.1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4.8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4.8</v>
      </c>
      <c r="AG58" s="22">
        <f t="shared" si="12"/>
        <v>10.3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583.6999999999999</v>
      </c>
      <c r="C60" s="22">
        <f t="shared" si="13"/>
        <v>696.5</v>
      </c>
      <c r="D60" s="22">
        <f t="shared" si="13"/>
        <v>0</v>
      </c>
      <c r="E60" s="22">
        <f t="shared" si="13"/>
        <v>119.10000000000001</v>
      </c>
      <c r="F60" s="22">
        <f t="shared" si="13"/>
        <v>152.5</v>
      </c>
      <c r="G60" s="22">
        <f t="shared" si="13"/>
        <v>6.3999999999999995</v>
      </c>
      <c r="H60" s="22">
        <f t="shared" si="13"/>
        <v>0.40000000000000036</v>
      </c>
      <c r="I60" s="22">
        <f t="shared" si="13"/>
        <v>0</v>
      </c>
      <c r="J60" s="22">
        <f t="shared" si="13"/>
        <v>1.7000000000000455</v>
      </c>
      <c r="K60" s="22">
        <f t="shared" si="13"/>
        <v>0</v>
      </c>
      <c r="L60" s="22">
        <f t="shared" si="13"/>
        <v>3.8</v>
      </c>
      <c r="M60" s="22">
        <f t="shared" si="13"/>
        <v>0.2</v>
      </c>
      <c r="N60" s="22">
        <f t="shared" si="13"/>
        <v>60.7</v>
      </c>
      <c r="O60" s="22">
        <f t="shared" si="13"/>
        <v>3.6</v>
      </c>
      <c r="P60" s="22">
        <f t="shared" si="13"/>
        <v>55.4</v>
      </c>
      <c r="Q60" s="22">
        <f t="shared" si="13"/>
        <v>21.9</v>
      </c>
      <c r="R60" s="22">
        <f t="shared" si="13"/>
        <v>7.799999999999998</v>
      </c>
      <c r="S60" s="22">
        <f t="shared" si="13"/>
        <v>7.899999999999999</v>
      </c>
      <c r="T60" s="22">
        <f t="shared" si="13"/>
        <v>0</v>
      </c>
      <c r="U60" s="22">
        <f t="shared" si="13"/>
        <v>67.99999999999982</v>
      </c>
      <c r="V60" s="22">
        <f t="shared" si="13"/>
        <v>7.5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516.9000000000001</v>
      </c>
      <c r="AG60" s="22">
        <f>AG54-AG55-AG57-AG59-AG56-AG58</f>
        <v>763.3000000000002</v>
      </c>
    </row>
    <row r="61" spans="1:33" ht="15" customHeight="1">
      <c r="A61" s="4" t="s">
        <v>10</v>
      </c>
      <c r="B61" s="22">
        <f>150+103</f>
        <v>253</v>
      </c>
      <c r="C61" s="22">
        <v>254.3</v>
      </c>
      <c r="D61" s="22"/>
      <c r="E61" s="22">
        <v>44.2</v>
      </c>
      <c r="F61" s="22">
        <v>12</v>
      </c>
      <c r="G61" s="22">
        <v>12.3</v>
      </c>
      <c r="H61" s="22">
        <v>28.6</v>
      </c>
      <c r="I61" s="22">
        <v>7.7</v>
      </c>
      <c r="J61" s="26">
        <v>3</v>
      </c>
      <c r="K61" s="22">
        <v>7.3</v>
      </c>
      <c r="L61" s="22">
        <v>6.3</v>
      </c>
      <c r="M61" s="22"/>
      <c r="N61" s="22">
        <v>20.4</v>
      </c>
      <c r="O61" s="27"/>
      <c r="P61" s="22">
        <v>6</v>
      </c>
      <c r="Q61" s="27">
        <v>23.8</v>
      </c>
      <c r="R61" s="22">
        <v>26.5</v>
      </c>
      <c r="S61" s="26"/>
      <c r="T61" s="26">
        <v>12</v>
      </c>
      <c r="U61" s="26">
        <v>34.6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244.7</v>
      </c>
      <c r="AG61" s="22">
        <f aca="true" t="shared" si="15" ref="AG61:AG67">B61+C61-AF61</f>
        <v>262.6</v>
      </c>
    </row>
    <row r="62" spans="1:33" ht="15" customHeight="1">
      <c r="A62" s="4" t="s">
        <v>11</v>
      </c>
      <c r="B62" s="22">
        <v>1281.7</v>
      </c>
      <c r="C62" s="22">
        <v>1597.4</v>
      </c>
      <c r="D62" s="22"/>
      <c r="E62" s="22">
        <v>0.4</v>
      </c>
      <c r="F62" s="22"/>
      <c r="G62" s="22">
        <v>39</v>
      </c>
      <c r="H62" s="22">
        <v>2</v>
      </c>
      <c r="I62" s="22"/>
      <c r="J62" s="26"/>
      <c r="K62" s="22">
        <v>396.8</v>
      </c>
      <c r="L62" s="22">
        <v>40</v>
      </c>
      <c r="M62" s="22"/>
      <c r="N62" s="22"/>
      <c r="O62" s="27">
        <v>53.9</v>
      </c>
      <c r="P62" s="22"/>
      <c r="Q62" s="27">
        <v>27.4</v>
      </c>
      <c r="R62" s="22">
        <v>23.9</v>
      </c>
      <c r="S62" s="26"/>
      <c r="T62" s="26">
        <v>106.1</v>
      </c>
      <c r="U62" s="26">
        <v>676.8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1366.3</v>
      </c>
      <c r="AG62" s="22">
        <f t="shared" si="15"/>
        <v>1512.8000000000004</v>
      </c>
    </row>
    <row r="63" spans="1:34" ht="15.75">
      <c r="A63" s="3" t="s">
        <v>5</v>
      </c>
      <c r="B63" s="22">
        <v>834.3</v>
      </c>
      <c r="C63" s="22">
        <v>386.5</v>
      </c>
      <c r="D63" s="22"/>
      <c r="E63" s="22"/>
      <c r="F63" s="22"/>
      <c r="G63" s="22"/>
      <c r="H63" s="22"/>
      <c r="I63" s="22"/>
      <c r="J63" s="26"/>
      <c r="K63" s="22">
        <v>314.4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656.2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970.6</v>
      </c>
      <c r="AG63" s="22">
        <f t="shared" si="15"/>
        <v>250.19999999999993</v>
      </c>
      <c r="AH63" s="64"/>
    </row>
    <row r="64" spans="1:34" ht="15.75">
      <c r="A64" s="3" t="s">
        <v>3</v>
      </c>
      <c r="B64" s="22">
        <v>3</v>
      </c>
      <c r="C64" s="22">
        <v>3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6</v>
      </c>
      <c r="AH64" s="6"/>
    </row>
    <row r="65" spans="1:34" ht="15.75">
      <c r="A65" s="3" t="s">
        <v>1</v>
      </c>
      <c r="B65" s="22">
        <v>31.6</v>
      </c>
      <c r="C65" s="22">
        <v>56.8</v>
      </c>
      <c r="D65" s="22"/>
      <c r="E65" s="22"/>
      <c r="F65" s="22"/>
      <c r="G65" s="22">
        <v>1.3</v>
      </c>
      <c r="H65" s="22"/>
      <c r="I65" s="22"/>
      <c r="J65" s="26"/>
      <c r="K65" s="22">
        <v>5.3</v>
      </c>
      <c r="L65" s="22"/>
      <c r="M65" s="22"/>
      <c r="N65" s="22"/>
      <c r="O65" s="27">
        <v>15.2</v>
      </c>
      <c r="P65" s="22"/>
      <c r="Q65" s="27">
        <v>5.8</v>
      </c>
      <c r="R65" s="22">
        <v>4.4</v>
      </c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32</v>
      </c>
      <c r="AG65" s="22">
        <f t="shared" si="15"/>
        <v>56.400000000000006</v>
      </c>
      <c r="AH65" s="6"/>
    </row>
    <row r="66" spans="1:33" ht="15.75">
      <c r="A66" s="3" t="s">
        <v>2</v>
      </c>
      <c r="B66" s="22">
        <v>48.5</v>
      </c>
      <c r="C66" s="22">
        <v>216.3</v>
      </c>
      <c r="D66" s="22"/>
      <c r="E66" s="22"/>
      <c r="F66" s="22"/>
      <c r="G66" s="22">
        <v>0.4</v>
      </c>
      <c r="H66" s="22"/>
      <c r="I66" s="22"/>
      <c r="J66" s="26"/>
      <c r="K66" s="22">
        <v>0.9</v>
      </c>
      <c r="L66" s="22"/>
      <c r="M66" s="22"/>
      <c r="N66" s="22"/>
      <c r="O66" s="27">
        <v>0.3</v>
      </c>
      <c r="P66" s="22"/>
      <c r="Q66" s="22">
        <v>11.5</v>
      </c>
      <c r="R66" s="22">
        <v>1.7</v>
      </c>
      <c r="S66" s="26"/>
      <c r="T66" s="26">
        <v>0.6</v>
      </c>
      <c r="U66" s="26">
        <v>0.8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16.2</v>
      </c>
      <c r="AG66" s="22">
        <f t="shared" si="15"/>
        <v>248.60000000000002</v>
      </c>
    </row>
    <row r="67" spans="1:33" ht="15.75">
      <c r="A67" s="3" t="s">
        <v>17</v>
      </c>
      <c r="B67" s="22">
        <v>0</v>
      </c>
      <c r="C67" s="22">
        <v>40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364.30000000000007</v>
      </c>
      <c r="C68" s="22">
        <f t="shared" si="16"/>
        <v>894.8000000000002</v>
      </c>
      <c r="D68" s="22">
        <f t="shared" si="16"/>
        <v>0</v>
      </c>
      <c r="E68" s="22">
        <f t="shared" si="16"/>
        <v>0.4</v>
      </c>
      <c r="F68" s="22">
        <f t="shared" si="16"/>
        <v>0</v>
      </c>
      <c r="G68" s="22">
        <f t="shared" si="16"/>
        <v>37.300000000000004</v>
      </c>
      <c r="H68" s="22">
        <f t="shared" si="16"/>
        <v>2</v>
      </c>
      <c r="I68" s="22">
        <f t="shared" si="16"/>
        <v>0</v>
      </c>
      <c r="J68" s="22">
        <f t="shared" si="16"/>
        <v>0</v>
      </c>
      <c r="K68" s="22">
        <f t="shared" si="16"/>
        <v>76.20000000000003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38.400000000000006</v>
      </c>
      <c r="P68" s="22">
        <f t="shared" si="16"/>
        <v>0</v>
      </c>
      <c r="Q68" s="22">
        <f t="shared" si="16"/>
        <v>10.099999999999998</v>
      </c>
      <c r="R68" s="22">
        <f t="shared" si="16"/>
        <v>17.799999999999997</v>
      </c>
      <c r="S68" s="22">
        <f t="shared" si="16"/>
        <v>0</v>
      </c>
      <c r="T68" s="22">
        <f t="shared" si="16"/>
        <v>105.5</v>
      </c>
      <c r="U68" s="22">
        <f t="shared" si="16"/>
        <v>19.79999999999991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307.49999999999994</v>
      </c>
      <c r="AG68" s="22">
        <f>AG62-AG63-AG66-AG67-AG65-AG64</f>
        <v>951.6000000000004</v>
      </c>
    </row>
    <row r="69" spans="1:33" ht="31.5">
      <c r="A69" s="4" t="s">
        <v>32</v>
      </c>
      <c r="B69" s="22">
        <v>2982.7</v>
      </c>
      <c r="C69" s="22">
        <v>20.8</v>
      </c>
      <c r="D69" s="22"/>
      <c r="E69" s="22"/>
      <c r="F69" s="22"/>
      <c r="G69" s="22">
        <v>1858.9</v>
      </c>
      <c r="H69" s="22"/>
      <c r="I69" s="22"/>
      <c r="J69" s="26">
        <v>80.5</v>
      </c>
      <c r="K69" s="22"/>
      <c r="L69" s="22"/>
      <c r="M69" s="22"/>
      <c r="N69" s="22"/>
      <c r="O69" s="22"/>
      <c r="P69" s="22"/>
      <c r="Q69" s="22"/>
      <c r="R69" s="22">
        <v>1043.3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2982.7</v>
      </c>
      <c r="AG69" s="30">
        <f aca="true" t="shared" si="17" ref="AG69:AG92">B69+C69-AF69</f>
        <v>20.800000000000182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921.6-429.7-9-80</f>
        <v>402.90000000000003</v>
      </c>
      <c r="C72" s="22">
        <v>3531.8</v>
      </c>
      <c r="D72" s="22"/>
      <c r="E72" s="22">
        <v>79.4</v>
      </c>
      <c r="F72" s="22"/>
      <c r="G72" s="22">
        <v>4.3</v>
      </c>
      <c r="H72" s="22">
        <v>55</v>
      </c>
      <c r="I72" s="22">
        <v>60.5</v>
      </c>
      <c r="J72" s="26">
        <v>8.3</v>
      </c>
      <c r="K72" s="22">
        <v>19.4</v>
      </c>
      <c r="L72" s="22">
        <v>2.9</v>
      </c>
      <c r="M72" s="22">
        <v>1.5</v>
      </c>
      <c r="N72" s="22">
        <v>16.4</v>
      </c>
      <c r="O72" s="22"/>
      <c r="P72" s="22">
        <v>1.7</v>
      </c>
      <c r="Q72" s="27">
        <v>1.6</v>
      </c>
      <c r="R72" s="22">
        <v>5.9</v>
      </c>
      <c r="S72" s="26">
        <v>104.7</v>
      </c>
      <c r="T72" s="26">
        <v>26.2</v>
      </c>
      <c r="U72" s="26">
        <v>9.9</v>
      </c>
      <c r="V72" s="26">
        <v>14.9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412.5999999999999</v>
      </c>
      <c r="AG72" s="30">
        <f t="shared" si="17"/>
        <v>3522.1000000000004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17.7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179.8</v>
      </c>
      <c r="C74" s="22">
        <v>403.9</v>
      </c>
      <c r="D74" s="22"/>
      <c r="E74" s="22">
        <v>29.1</v>
      </c>
      <c r="F74" s="22"/>
      <c r="G74" s="22"/>
      <c r="H74" s="22">
        <v>22.6</v>
      </c>
      <c r="I74" s="22"/>
      <c r="J74" s="26"/>
      <c r="K74" s="22"/>
      <c r="L74" s="22"/>
      <c r="M74" s="22"/>
      <c r="N74" s="22"/>
      <c r="O74" s="22"/>
      <c r="P74" s="22">
        <v>1.7</v>
      </c>
      <c r="Q74" s="27"/>
      <c r="R74" s="22"/>
      <c r="S74" s="26"/>
      <c r="T74" s="26"/>
      <c r="U74" s="26">
        <v>9.9</v>
      </c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63.300000000000004</v>
      </c>
      <c r="AG74" s="30">
        <f t="shared" si="17"/>
        <v>520.4000000000001</v>
      </c>
    </row>
    <row r="75" spans="1:33" ht="15" customHeight="1">
      <c r="A75" s="3" t="s">
        <v>17</v>
      </c>
      <c r="B75" s="22">
        <v>96.3</v>
      </c>
      <c r="C75" s="22">
        <v>450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543.4</v>
      </c>
    </row>
    <row r="76" spans="1:33" s="11" customFormat="1" ht="31.5">
      <c r="A76" s="12" t="s">
        <v>21</v>
      </c>
      <c r="B76" s="22">
        <v>97.5</v>
      </c>
      <c r="C76" s="22">
        <f>369.6-80</f>
        <v>289.6</v>
      </c>
      <c r="D76" s="22"/>
      <c r="E76" s="28"/>
      <c r="F76" s="28"/>
      <c r="G76" s="28"/>
      <c r="H76" s="28"/>
      <c r="I76" s="28"/>
      <c r="J76" s="29">
        <v>46.8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37.3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84.1</v>
      </c>
      <c r="AG76" s="30">
        <f t="shared" si="17"/>
        <v>303</v>
      </c>
    </row>
    <row r="77" spans="1:33" s="11" customFormat="1" ht="15.75">
      <c r="A77" s="3" t="s">
        <v>5</v>
      </c>
      <c r="B77" s="22">
        <v>77.2</v>
      </c>
      <c r="C77" s="22">
        <v>2.4</v>
      </c>
      <c r="D77" s="22"/>
      <c r="E77" s="28"/>
      <c r="F77" s="28"/>
      <c r="G77" s="28"/>
      <c r="H77" s="28"/>
      <c r="I77" s="28"/>
      <c r="J77" s="29">
        <v>39.2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36.7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75.9</v>
      </c>
      <c r="AG77" s="30">
        <f t="shared" si="17"/>
        <v>3.700000000000003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2.1</v>
      </c>
      <c r="C80" s="22">
        <v>2.2</v>
      </c>
      <c r="D80" s="22"/>
      <c r="E80" s="28"/>
      <c r="F80" s="28"/>
      <c r="G80" s="28"/>
      <c r="H80" s="28"/>
      <c r="I80" s="28"/>
      <c r="J80" s="29">
        <v>0.3</v>
      </c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4.000000000000001</v>
      </c>
    </row>
    <row r="81" spans="1:33" s="11" customFormat="1" ht="15.75">
      <c r="A81" s="12" t="s">
        <v>36</v>
      </c>
      <c r="B81" s="22">
        <v>0</v>
      </c>
      <c r="C81" s="28">
        <v>137.6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137.6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154.1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154.1</v>
      </c>
    </row>
    <row r="84" spans="1:33" s="11" customFormat="1" ht="15.75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>
      <c r="A88" s="4" t="s">
        <v>73</v>
      </c>
      <c r="B88" s="22">
        <v>2620</v>
      </c>
      <c r="C88" s="22">
        <v>0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2620</v>
      </c>
      <c r="AH88" s="11"/>
    </row>
    <row r="89" spans="1:34" ht="15.75">
      <c r="A89" s="4" t="s">
        <v>45</v>
      </c>
      <c r="B89" s="22">
        <f>2553.5+3264</f>
        <v>5817.5</v>
      </c>
      <c r="C89" s="22">
        <v>2229</v>
      </c>
      <c r="D89" s="22"/>
      <c r="E89" s="22">
        <v>994.1</v>
      </c>
      <c r="F89" s="22">
        <v>165.7</v>
      </c>
      <c r="G89" s="22"/>
      <c r="H89" s="22">
        <v>363.3</v>
      </c>
      <c r="I89" s="22"/>
      <c r="J89" s="22"/>
      <c r="K89" s="22"/>
      <c r="L89" s="22">
        <v>1.9</v>
      </c>
      <c r="M89" s="22"/>
      <c r="N89" s="22">
        <v>102.1</v>
      </c>
      <c r="O89" s="22">
        <v>983.3</v>
      </c>
      <c r="P89" s="22">
        <v>775.9</v>
      </c>
      <c r="Q89" s="22"/>
      <c r="R89" s="22">
        <v>141.6</v>
      </c>
      <c r="S89" s="26"/>
      <c r="T89" s="26">
        <v>225</v>
      </c>
      <c r="U89" s="22">
        <v>107.6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3860.4999999999995</v>
      </c>
      <c r="AG89" s="22">
        <f t="shared" si="17"/>
        <v>4186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1611.2</v>
      </c>
      <c r="AG90" s="22">
        <f t="shared" si="17"/>
        <v>805.6000000000001</v>
      </c>
      <c r="AH90" s="11"/>
    </row>
    <row r="91" spans="1:34" ht="15.75">
      <c r="A91" s="4" t="s">
        <v>28</v>
      </c>
      <c r="B91" s="22">
        <v>0</v>
      </c>
      <c r="C91" s="22">
        <v>237.1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237.1</v>
      </c>
      <c r="AH91" s="11"/>
    </row>
    <row r="92" spans="1:34" ht="15.75">
      <c r="A92" s="4" t="s">
        <v>44</v>
      </c>
      <c r="B92" s="22">
        <f>54858.3-3514-2494.7-340</f>
        <v>48509.600000000006</v>
      </c>
      <c r="C92" s="22">
        <f>10526.4-55.3</f>
        <v>10471.1</v>
      </c>
      <c r="D92" s="22">
        <f>7515.4+21</f>
        <v>7536.4</v>
      </c>
      <c r="E92" s="22">
        <v>1072.6</v>
      </c>
      <c r="F92" s="22">
        <v>878.9</v>
      </c>
      <c r="G92" s="22">
        <v>1120.6</v>
      </c>
      <c r="H92" s="22">
        <f>1709.1+22.1</f>
        <v>1731.1999999999998</v>
      </c>
      <c r="I92" s="22">
        <v>4157</v>
      </c>
      <c r="J92" s="22"/>
      <c r="K92" s="22">
        <f>133.2+22.7</f>
        <v>155.89999999999998</v>
      </c>
      <c r="L92" s="22">
        <v>1484.9</v>
      </c>
      <c r="M92" s="22">
        <v>7590.8</v>
      </c>
      <c r="N92" s="22">
        <v>2684.6</v>
      </c>
      <c r="O92" s="22">
        <v>1175.2</v>
      </c>
      <c r="P92" s="22">
        <v>1850.4</v>
      </c>
      <c r="Q92" s="22">
        <f>3473.8+8.6</f>
        <v>3482.4</v>
      </c>
      <c r="R92" s="22">
        <v>1701.7</v>
      </c>
      <c r="S92" s="26">
        <v>2648.5</v>
      </c>
      <c r="T92" s="26"/>
      <c r="U92" s="22"/>
      <c r="V92" s="22">
        <v>7402.6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46673.7</v>
      </c>
      <c r="AG92" s="22">
        <f t="shared" si="17"/>
        <v>12307.000000000007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140639.3</v>
      </c>
      <c r="C94" s="42">
        <f t="shared" si="18"/>
        <v>73872.30000000002</v>
      </c>
      <c r="D94" s="42">
        <f t="shared" si="18"/>
        <v>7536.299999999999</v>
      </c>
      <c r="E94" s="42">
        <f t="shared" si="18"/>
        <v>4910.5</v>
      </c>
      <c r="F94" s="42">
        <f t="shared" si="18"/>
        <v>2443.8</v>
      </c>
      <c r="G94" s="42">
        <f t="shared" si="18"/>
        <v>3100.8</v>
      </c>
      <c r="H94" s="42">
        <f t="shared" si="18"/>
        <v>3539.5999999999995</v>
      </c>
      <c r="I94" s="42">
        <f t="shared" si="18"/>
        <v>5461</v>
      </c>
      <c r="J94" s="42">
        <f t="shared" si="18"/>
        <v>20461.7</v>
      </c>
      <c r="K94" s="42">
        <f t="shared" si="18"/>
        <v>1378.3000000000002</v>
      </c>
      <c r="L94" s="42">
        <f t="shared" si="18"/>
        <v>2025.2</v>
      </c>
      <c r="M94" s="42">
        <f t="shared" si="18"/>
        <v>7922</v>
      </c>
      <c r="N94" s="42">
        <f t="shared" si="18"/>
        <v>3173.7999999999997</v>
      </c>
      <c r="O94" s="42">
        <f t="shared" si="18"/>
        <v>3637.8</v>
      </c>
      <c r="P94" s="42">
        <f t="shared" si="18"/>
        <v>3699.5</v>
      </c>
      <c r="Q94" s="42">
        <f t="shared" si="18"/>
        <v>4445.5</v>
      </c>
      <c r="R94" s="42">
        <f t="shared" si="18"/>
        <v>5116.3</v>
      </c>
      <c r="S94" s="42">
        <f t="shared" si="18"/>
        <v>10541.999999999998</v>
      </c>
      <c r="T94" s="42">
        <f t="shared" si="18"/>
        <v>5018.2</v>
      </c>
      <c r="U94" s="42">
        <f t="shared" si="18"/>
        <v>24299.799999999996</v>
      </c>
      <c r="V94" s="42">
        <f t="shared" si="18"/>
        <v>8010.900000000001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126723.00000000001</v>
      </c>
      <c r="AG94" s="58">
        <f>AG10+AG15+AG24+AG33+AG47+AG52+AG54+AG61+AG62+AG69+AG71+AG72+AG76+AG81+AG82+AG83+AG88+AG89+AG90+AG91+AG70+AG40+AG92</f>
        <v>87788.60000000003</v>
      </c>
    </row>
    <row r="95" spans="1:33" ht="15.75">
      <c r="A95" s="3" t="s">
        <v>5</v>
      </c>
      <c r="B95" s="22">
        <f aca="true" t="shared" si="19" ref="B95:AD95">B11+B17+B26+B34+B55+B63+B73+B41+B77+B48</f>
        <v>50776.79999999999</v>
      </c>
      <c r="C95" s="22">
        <f t="shared" si="19"/>
        <v>8660.099999999999</v>
      </c>
      <c r="D95" s="22">
        <f t="shared" si="19"/>
        <v>-0.1</v>
      </c>
      <c r="E95" s="22">
        <f t="shared" si="19"/>
        <v>47.2</v>
      </c>
      <c r="F95" s="22">
        <f t="shared" si="19"/>
        <v>20</v>
      </c>
      <c r="G95" s="22">
        <f t="shared" si="19"/>
        <v>44.6</v>
      </c>
      <c r="H95" s="22">
        <f t="shared" si="19"/>
        <v>14.5</v>
      </c>
      <c r="I95" s="22">
        <f t="shared" si="19"/>
        <v>29.2</v>
      </c>
      <c r="J95" s="22">
        <f t="shared" si="19"/>
        <v>19334.600000000006</v>
      </c>
      <c r="K95" s="22">
        <f t="shared" si="19"/>
        <v>1111.8</v>
      </c>
      <c r="L95" s="22">
        <f t="shared" si="19"/>
        <v>3.3</v>
      </c>
      <c r="M95" s="22">
        <f t="shared" si="19"/>
        <v>0</v>
      </c>
      <c r="N95" s="22">
        <f t="shared" si="19"/>
        <v>10.1</v>
      </c>
      <c r="O95" s="22">
        <f t="shared" si="19"/>
        <v>8.3</v>
      </c>
      <c r="P95" s="22">
        <f t="shared" si="19"/>
        <v>5.2</v>
      </c>
      <c r="Q95" s="22">
        <f t="shared" si="19"/>
        <v>0</v>
      </c>
      <c r="R95" s="22">
        <f t="shared" si="19"/>
        <v>0</v>
      </c>
      <c r="S95" s="22">
        <f t="shared" si="19"/>
        <v>5936.1</v>
      </c>
      <c r="T95" s="22">
        <f t="shared" si="19"/>
        <v>3388</v>
      </c>
      <c r="U95" s="22">
        <f t="shared" si="19"/>
        <v>22613.600000000002</v>
      </c>
      <c r="V95" s="22">
        <f t="shared" si="19"/>
        <v>518.1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53084.50000000001</v>
      </c>
      <c r="AG95" s="27">
        <f>B95+C95-AF95</f>
        <v>6352.39999999998</v>
      </c>
    </row>
    <row r="96" spans="1:33" ht="15.75">
      <c r="A96" s="3" t="s">
        <v>2</v>
      </c>
      <c r="B96" s="22">
        <f aca="true" t="shared" si="20" ref="B96:AD96">B12+B20+B29+B36+B57+B66+B44+B80+B74+B53</f>
        <v>10436.199999999997</v>
      </c>
      <c r="C96" s="22">
        <f t="shared" si="20"/>
        <v>21339.300000000003</v>
      </c>
      <c r="D96" s="22">
        <f t="shared" si="20"/>
        <v>0</v>
      </c>
      <c r="E96" s="22">
        <f t="shared" si="20"/>
        <v>30.900000000000002</v>
      </c>
      <c r="F96" s="22">
        <f t="shared" si="20"/>
        <v>570</v>
      </c>
      <c r="G96" s="22">
        <f t="shared" si="20"/>
        <v>0.6000000000000001</v>
      </c>
      <c r="H96" s="22">
        <f t="shared" si="20"/>
        <v>322.8</v>
      </c>
      <c r="I96" s="22">
        <f t="shared" si="20"/>
        <v>36.6</v>
      </c>
      <c r="J96" s="22">
        <f t="shared" si="20"/>
        <v>336.3</v>
      </c>
      <c r="K96" s="22">
        <f t="shared" si="20"/>
        <v>0.9</v>
      </c>
      <c r="L96" s="22">
        <f t="shared" si="20"/>
        <v>13.1</v>
      </c>
      <c r="M96" s="22">
        <f t="shared" si="20"/>
        <v>6.4</v>
      </c>
      <c r="N96" s="22">
        <f t="shared" si="20"/>
        <v>161.4</v>
      </c>
      <c r="O96" s="22">
        <f t="shared" si="20"/>
        <v>223.00000000000003</v>
      </c>
      <c r="P96" s="22">
        <f t="shared" si="20"/>
        <v>7.4</v>
      </c>
      <c r="Q96" s="22">
        <f t="shared" si="20"/>
        <v>22.4</v>
      </c>
      <c r="R96" s="22">
        <f t="shared" si="20"/>
        <v>686.5</v>
      </c>
      <c r="S96" s="22">
        <f t="shared" si="20"/>
        <v>451.4</v>
      </c>
      <c r="T96" s="22">
        <f t="shared" si="20"/>
        <v>273.8</v>
      </c>
      <c r="U96" s="22">
        <f t="shared" si="20"/>
        <v>25.1</v>
      </c>
      <c r="V96" s="22">
        <f t="shared" si="20"/>
        <v>3.1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3171.7000000000003</v>
      </c>
      <c r="AG96" s="27">
        <f>B96+C96-AF96</f>
        <v>28603.8</v>
      </c>
    </row>
    <row r="97" spans="1:33" ht="15.75">
      <c r="A97" s="3" t="s">
        <v>3</v>
      </c>
      <c r="B97" s="22">
        <f aca="true" t="shared" si="21" ref="B97:AA97">B18+B27+B42+B64+B78</f>
        <v>1495.9</v>
      </c>
      <c r="C97" s="22">
        <f t="shared" si="21"/>
        <v>2358.8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1</v>
      </c>
      <c r="I97" s="22">
        <f t="shared" si="21"/>
        <v>0.5</v>
      </c>
      <c r="J97" s="22">
        <f t="shared" si="21"/>
        <v>217</v>
      </c>
      <c r="K97" s="22">
        <f t="shared" si="21"/>
        <v>0</v>
      </c>
      <c r="L97" s="22">
        <f t="shared" si="21"/>
        <v>189.1</v>
      </c>
      <c r="M97" s="22">
        <f t="shared" si="21"/>
        <v>64.2</v>
      </c>
      <c r="N97" s="22">
        <f t="shared" si="21"/>
        <v>2.5</v>
      </c>
      <c r="O97" s="22">
        <f t="shared" si="21"/>
        <v>0</v>
      </c>
      <c r="P97" s="22">
        <f t="shared" si="21"/>
        <v>0</v>
      </c>
      <c r="Q97" s="22">
        <f t="shared" si="21"/>
        <v>52.8</v>
      </c>
      <c r="R97" s="22">
        <f t="shared" si="21"/>
        <v>7.6</v>
      </c>
      <c r="S97" s="22">
        <f t="shared" si="21"/>
        <v>268.3</v>
      </c>
      <c r="T97" s="22">
        <f t="shared" si="21"/>
        <v>247.3</v>
      </c>
      <c r="U97" s="22">
        <f t="shared" si="21"/>
        <v>5.2</v>
      </c>
      <c r="V97" s="22">
        <f t="shared" si="21"/>
        <v>1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1056.5</v>
      </c>
      <c r="AG97" s="27">
        <f>B97+C97-AF97</f>
        <v>2798.2000000000003</v>
      </c>
    </row>
    <row r="98" spans="1:33" ht="15.75">
      <c r="A98" s="3" t="s">
        <v>1</v>
      </c>
      <c r="B98" s="22">
        <f aca="true" t="shared" si="22" ref="B98:AD98">B19+B28+B65+B35+B43+B56+B79</f>
        <v>4006.2000000000003</v>
      </c>
      <c r="C98" s="22">
        <f t="shared" si="22"/>
        <v>3888.1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1.3</v>
      </c>
      <c r="H98" s="22">
        <f t="shared" si="22"/>
        <v>637.5</v>
      </c>
      <c r="I98" s="22">
        <f t="shared" si="22"/>
        <v>6.7</v>
      </c>
      <c r="J98" s="22">
        <f t="shared" si="22"/>
        <v>177.29999999999998</v>
      </c>
      <c r="K98" s="22">
        <f t="shared" si="22"/>
        <v>5.3</v>
      </c>
      <c r="L98" s="22">
        <f t="shared" si="22"/>
        <v>0</v>
      </c>
      <c r="M98" s="22">
        <f t="shared" si="22"/>
        <v>97.5</v>
      </c>
      <c r="N98" s="22">
        <f t="shared" si="22"/>
        <v>14.8</v>
      </c>
      <c r="O98" s="22">
        <f t="shared" si="22"/>
        <v>570.6</v>
      </c>
      <c r="P98" s="22">
        <f t="shared" si="22"/>
        <v>0</v>
      </c>
      <c r="Q98" s="22">
        <f t="shared" si="22"/>
        <v>284.2</v>
      </c>
      <c r="R98" s="22">
        <f t="shared" si="22"/>
        <v>624</v>
      </c>
      <c r="S98" s="22">
        <f t="shared" si="22"/>
        <v>690.7</v>
      </c>
      <c r="T98" s="22">
        <f t="shared" si="22"/>
        <v>367.1</v>
      </c>
      <c r="U98" s="22">
        <f t="shared" si="22"/>
        <v>46.7</v>
      </c>
      <c r="V98" s="22">
        <f t="shared" si="22"/>
        <v>56.8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3580.4999999999995</v>
      </c>
      <c r="AG98" s="27">
        <f>B98+C98-AF98</f>
        <v>4313.800000000001</v>
      </c>
    </row>
    <row r="99" spans="1:33" ht="15.75">
      <c r="A99" s="3" t="s">
        <v>17</v>
      </c>
      <c r="B99" s="22">
        <f aca="true" t="shared" si="23" ref="B99:X99">B21+B30+B49+B37+B58+B13+B75+B67</f>
        <v>2335.2000000000003</v>
      </c>
      <c r="C99" s="22">
        <f t="shared" si="23"/>
        <v>3872</v>
      </c>
      <c r="D99" s="22">
        <f t="shared" si="23"/>
        <v>0</v>
      </c>
      <c r="E99" s="22">
        <f t="shared" si="23"/>
        <v>0</v>
      </c>
      <c r="F99" s="22">
        <f t="shared" si="23"/>
        <v>1.8</v>
      </c>
      <c r="G99" s="22">
        <f t="shared" si="23"/>
        <v>0</v>
      </c>
      <c r="H99" s="22">
        <f t="shared" si="23"/>
        <v>0</v>
      </c>
      <c r="I99" s="22">
        <f t="shared" si="23"/>
        <v>184.20000000000002</v>
      </c>
      <c r="J99" s="22">
        <f t="shared" si="23"/>
        <v>35</v>
      </c>
      <c r="K99" s="22">
        <f t="shared" si="23"/>
        <v>0</v>
      </c>
      <c r="L99" s="22">
        <f t="shared" si="23"/>
        <v>40</v>
      </c>
      <c r="M99" s="22">
        <f t="shared" si="23"/>
        <v>92</v>
      </c>
      <c r="N99" s="22">
        <f t="shared" si="23"/>
        <v>2.2</v>
      </c>
      <c r="O99" s="22">
        <f t="shared" si="23"/>
        <v>351.7</v>
      </c>
      <c r="P99" s="22">
        <f t="shared" si="23"/>
        <v>0</v>
      </c>
      <c r="Q99" s="22">
        <f t="shared" si="23"/>
        <v>69.8</v>
      </c>
      <c r="R99" s="22">
        <f t="shared" si="23"/>
        <v>507.6</v>
      </c>
      <c r="S99" s="22">
        <f t="shared" si="23"/>
        <v>211.3</v>
      </c>
      <c r="T99" s="22">
        <f t="shared" si="23"/>
        <v>45.8</v>
      </c>
      <c r="U99" s="22">
        <f t="shared" si="23"/>
        <v>54.1</v>
      </c>
      <c r="V99" s="22">
        <f t="shared" si="23"/>
        <v>2.9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1598.3999999999999</v>
      </c>
      <c r="AG99" s="27">
        <f>B99+C99-AF99</f>
        <v>4608.800000000001</v>
      </c>
    </row>
    <row r="100" spans="1:33" ht="12.75">
      <c r="A100" s="1" t="s">
        <v>41</v>
      </c>
      <c r="B100" s="2">
        <f aca="true" t="shared" si="25" ref="B100:AD100">B94-B95-B96-B97-B98-B99</f>
        <v>71589.00000000001</v>
      </c>
      <c r="C100" s="2">
        <f t="shared" si="25"/>
        <v>33754.000000000015</v>
      </c>
      <c r="D100" s="2">
        <f t="shared" si="25"/>
        <v>7536.4</v>
      </c>
      <c r="E100" s="2">
        <f t="shared" si="25"/>
        <v>4832.400000000001</v>
      </c>
      <c r="F100" s="2">
        <f t="shared" si="25"/>
        <v>1852.0000000000002</v>
      </c>
      <c r="G100" s="2">
        <f t="shared" si="25"/>
        <v>3054.3</v>
      </c>
      <c r="H100" s="2">
        <f t="shared" si="25"/>
        <v>2563.7999999999993</v>
      </c>
      <c r="I100" s="2">
        <f t="shared" si="25"/>
        <v>5203.8</v>
      </c>
      <c r="J100" s="2">
        <f t="shared" si="25"/>
        <v>361.499999999995</v>
      </c>
      <c r="K100" s="2">
        <f t="shared" si="25"/>
        <v>260.30000000000024</v>
      </c>
      <c r="L100" s="2">
        <f t="shared" si="25"/>
        <v>1779.7000000000003</v>
      </c>
      <c r="M100" s="2">
        <f t="shared" si="25"/>
        <v>7661.900000000001</v>
      </c>
      <c r="N100" s="2">
        <f t="shared" si="25"/>
        <v>2982.7999999999997</v>
      </c>
      <c r="O100" s="2">
        <f t="shared" si="25"/>
        <v>2484.2000000000003</v>
      </c>
      <c r="P100" s="2">
        <f t="shared" si="25"/>
        <v>3686.9</v>
      </c>
      <c r="Q100" s="2">
        <f t="shared" si="25"/>
        <v>4016.3</v>
      </c>
      <c r="R100" s="2">
        <f t="shared" si="25"/>
        <v>3290.6</v>
      </c>
      <c r="S100" s="2">
        <f t="shared" si="25"/>
        <v>2984.199999999998</v>
      </c>
      <c r="T100" s="2">
        <f t="shared" si="25"/>
        <v>696.1999999999999</v>
      </c>
      <c r="U100" s="2">
        <f t="shared" si="25"/>
        <v>1555.0999999999935</v>
      </c>
      <c r="V100" s="2">
        <f t="shared" si="25"/>
        <v>7429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64231.4</v>
      </c>
      <c r="AG100" s="2">
        <f>AG94-AG95-AG96-AG97-AG98-AG99</f>
        <v>41111.60000000005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I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28" sqref="AK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38047.4</v>
      </c>
      <c r="C7" s="72">
        <v>7609.9</v>
      </c>
      <c r="D7" s="45"/>
      <c r="E7" s="46">
        <v>19023.7</v>
      </c>
      <c r="F7" s="46"/>
      <c r="G7" s="46"/>
      <c r="H7" s="74"/>
      <c r="I7" s="46">
        <v>19023.7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8179.7</v>
      </c>
      <c r="AF7" s="72"/>
      <c r="AG7" s="48"/>
    </row>
    <row r="8" spans="1:55" ht="18" customHeight="1">
      <c r="A8" s="60" t="s">
        <v>34</v>
      </c>
      <c r="B8" s="40">
        <f>SUM(D8:AB8)</f>
        <v>92355.00000000001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2075.7</v>
      </c>
      <c r="I8" s="55">
        <v>2376.6</v>
      </c>
      <c r="J8" s="56">
        <v>2266.8</v>
      </c>
      <c r="K8" s="55">
        <v>5847.2</v>
      </c>
      <c r="L8" s="55">
        <v>4253.8</v>
      </c>
      <c r="M8" s="55">
        <v>2509.3</v>
      </c>
      <c r="N8" s="55">
        <v>3883.7</v>
      </c>
      <c r="O8" s="55">
        <v>4988.6</v>
      </c>
      <c r="P8" s="55">
        <v>5732.5</v>
      </c>
      <c r="Q8" s="55">
        <v>3884</v>
      </c>
      <c r="R8" s="55">
        <v>3638.2</v>
      </c>
      <c r="S8" s="57">
        <v>4114.2</v>
      </c>
      <c r="T8" s="57">
        <v>2305.1</v>
      </c>
      <c r="U8" s="55">
        <v>7356.3</v>
      </c>
      <c r="V8" s="55">
        <v>8891</v>
      </c>
      <c r="W8" s="55"/>
      <c r="X8" s="56"/>
      <c r="Y8" s="56"/>
      <c r="Z8" s="56"/>
      <c r="AA8" s="56"/>
      <c r="AB8" s="55"/>
      <c r="AC8" s="23"/>
      <c r="AD8" s="23"/>
      <c r="AE8" s="61">
        <v>145603.6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151397.49999999997</v>
      </c>
      <c r="C9" s="24">
        <f t="shared" si="0"/>
        <v>55187.8</v>
      </c>
      <c r="D9" s="24">
        <f t="shared" si="0"/>
        <v>11191.2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2308.5</v>
      </c>
      <c r="K9" s="24">
        <f t="shared" si="0"/>
        <v>6192.2</v>
      </c>
      <c r="L9" s="24">
        <f t="shared" si="0"/>
        <v>6161.5</v>
      </c>
      <c r="M9" s="24">
        <f t="shared" si="0"/>
        <v>2560.3999999999996</v>
      </c>
      <c r="N9" s="24">
        <f t="shared" si="0"/>
        <v>3909.4</v>
      </c>
      <c r="O9" s="24">
        <f t="shared" si="0"/>
        <v>7686.5</v>
      </c>
      <c r="P9" s="24">
        <f t="shared" si="0"/>
        <v>6791</v>
      </c>
      <c r="Q9" s="24">
        <f t="shared" si="0"/>
        <v>3884</v>
      </c>
      <c r="R9" s="24">
        <f t="shared" si="0"/>
        <v>26330.699999999997</v>
      </c>
      <c r="S9" s="24">
        <f t="shared" si="0"/>
        <v>14502.7</v>
      </c>
      <c r="T9" s="24">
        <f t="shared" si="0"/>
        <v>3119.6000000000004</v>
      </c>
      <c r="U9" s="24">
        <f t="shared" si="0"/>
        <v>7363.299999999999</v>
      </c>
      <c r="V9" s="24">
        <f t="shared" si="0"/>
        <v>8977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150136.00000000003</v>
      </c>
      <c r="AG9" s="50">
        <f>AG10+AG15+AG24+AG33+AG47+AG52+AG54+AG61+AG62+AG71+AG72+AG76+AG88+AG81+AG83+AG82+AG69+AG89+AG91+AG90+AG70+AG40+AG92</f>
        <v>56449.299999999974</v>
      </c>
      <c r="AH9" s="49"/>
      <c r="AI9" s="49"/>
    </row>
    <row r="10" spans="1:33" ht="15.75">
      <c r="A10" s="4" t="s">
        <v>4</v>
      </c>
      <c r="B10" s="22">
        <f>4868.4+847.6</f>
        <v>5716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>
        <v>48.3</v>
      </c>
      <c r="K10" s="22">
        <v>35.5</v>
      </c>
      <c r="L10" s="22">
        <v>8</v>
      </c>
      <c r="M10" s="22">
        <v>23.7</v>
      </c>
      <c r="N10" s="22">
        <v>26.9</v>
      </c>
      <c r="O10" s="27">
        <v>18.2</v>
      </c>
      <c r="P10" s="22">
        <v>6.8</v>
      </c>
      <c r="Q10" s="22">
        <v>78.9</v>
      </c>
      <c r="R10" s="22">
        <v>201.6</v>
      </c>
      <c r="S10" s="26">
        <v>1354.3</v>
      </c>
      <c r="T10" s="26">
        <v>1492.6</v>
      </c>
      <c r="U10" s="26">
        <v>499.4</v>
      </c>
      <c r="V10" s="26">
        <v>1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5416.799999999999</v>
      </c>
      <c r="AG10" s="27">
        <f>B10+C10-AF10</f>
        <v>3530.4000000000015</v>
      </c>
    </row>
    <row r="11" spans="1:33" ht="15.75">
      <c r="A11" s="3" t="s">
        <v>5</v>
      </c>
      <c r="B11" s="22">
        <f>4203+107</f>
        <v>4310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>
        <v>9.7</v>
      </c>
      <c r="K11" s="22">
        <v>19.9</v>
      </c>
      <c r="L11" s="22"/>
      <c r="M11" s="22">
        <v>9.5</v>
      </c>
      <c r="N11" s="22">
        <v>1.6</v>
      </c>
      <c r="O11" s="27">
        <v>16.7</v>
      </c>
      <c r="P11" s="22"/>
      <c r="Q11" s="22"/>
      <c r="R11" s="22"/>
      <c r="S11" s="26">
        <v>728.3</v>
      </c>
      <c r="T11" s="26">
        <v>1292.1</v>
      </c>
      <c r="U11" s="26">
        <v>321.1</v>
      </c>
      <c r="V11" s="26">
        <v>0.8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3733.9</v>
      </c>
      <c r="AG11" s="27">
        <f>B11+C11-AF11</f>
        <v>2411.7000000000003</v>
      </c>
    </row>
    <row r="12" spans="1:33" ht="15.75">
      <c r="A12" s="3" t="s">
        <v>2</v>
      </c>
      <c r="B12" s="36">
        <v>107.7</v>
      </c>
      <c r="C12" s="22">
        <f>601-251.9</f>
        <v>349.1</v>
      </c>
      <c r="D12" s="22">
        <v>10.2</v>
      </c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>
        <v>1.9</v>
      </c>
      <c r="O12" s="27"/>
      <c r="P12" s="22"/>
      <c r="Q12" s="22"/>
      <c r="R12" s="22">
        <v>1.6</v>
      </c>
      <c r="S12" s="26">
        <v>30.8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199.8</v>
      </c>
      <c r="AG12" s="27">
        <f>B12+C12-AF12</f>
        <v>257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1298.3</v>
      </c>
      <c r="C14" s="22">
        <f t="shared" si="2"/>
        <v>1046.5</v>
      </c>
      <c r="D14" s="22">
        <f t="shared" si="2"/>
        <v>1.7763568394002505E-15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38.599999999999994</v>
      </c>
      <c r="K14" s="22">
        <f t="shared" si="2"/>
        <v>15.600000000000001</v>
      </c>
      <c r="L14" s="22">
        <f t="shared" si="2"/>
        <v>8</v>
      </c>
      <c r="M14" s="22">
        <f t="shared" si="2"/>
        <v>14.2</v>
      </c>
      <c r="N14" s="22">
        <f t="shared" si="2"/>
        <v>23.4</v>
      </c>
      <c r="O14" s="22">
        <f t="shared" si="2"/>
        <v>1.5</v>
      </c>
      <c r="P14" s="22">
        <f t="shared" si="2"/>
        <v>6.8</v>
      </c>
      <c r="Q14" s="22">
        <f t="shared" si="2"/>
        <v>78.9</v>
      </c>
      <c r="R14" s="22">
        <f t="shared" si="2"/>
        <v>200</v>
      </c>
      <c r="S14" s="22">
        <f t="shared" si="2"/>
        <v>595.2</v>
      </c>
      <c r="T14" s="22">
        <f t="shared" si="2"/>
        <v>200.5</v>
      </c>
      <c r="U14" s="22">
        <f t="shared" si="2"/>
        <v>178.29999999999995</v>
      </c>
      <c r="V14" s="22">
        <f t="shared" si="2"/>
        <v>0.19999999999999996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1483.1</v>
      </c>
      <c r="AG14" s="27">
        <f>AG10-AG11-AG12-AG13</f>
        <v>861.7000000000012</v>
      </c>
    </row>
    <row r="15" spans="1:33" ht="15" customHeight="1">
      <c r="A15" s="4" t="s">
        <v>6</v>
      </c>
      <c r="B15" s="22">
        <f>43479.3+6.1+0.1</f>
        <v>43485.5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>
        <v>212.3</v>
      </c>
      <c r="K15" s="22"/>
      <c r="L15" s="22">
        <v>2689.8</v>
      </c>
      <c r="M15" s="22">
        <v>41.5</v>
      </c>
      <c r="N15" s="22">
        <v>25.8</v>
      </c>
      <c r="O15" s="27">
        <f>2057.7-7.7</f>
        <v>2050</v>
      </c>
      <c r="P15" s="22">
        <v>255.5</v>
      </c>
      <c r="Q15" s="27">
        <v>786.6</v>
      </c>
      <c r="R15" s="22">
        <v>23738.6</v>
      </c>
      <c r="S15" s="26">
        <v>706.6</v>
      </c>
      <c r="T15" s="26">
        <v>788.4</v>
      </c>
      <c r="U15" s="26">
        <v>78.8</v>
      </c>
      <c r="V15" s="26">
        <v>108.9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43201.200000000004</v>
      </c>
      <c r="AG15" s="27">
        <f aca="true" t="shared" si="3" ref="AG15:AG31">B15+C15-AF15</f>
        <v>15198.999999999993</v>
      </c>
    </row>
    <row r="16" spans="1:34" s="70" customFormat="1" ht="15" customHeight="1">
      <c r="A16" s="65" t="s">
        <v>46</v>
      </c>
      <c r="B16" s="66">
        <f>23103.4-424.6</f>
        <v>22678.800000000003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>
        <v>1904.1</v>
      </c>
      <c r="M16" s="66">
        <v>40</v>
      </c>
      <c r="N16" s="66">
        <v>25.8</v>
      </c>
      <c r="O16" s="69"/>
      <c r="P16" s="66">
        <v>254.5</v>
      </c>
      <c r="Q16" s="69"/>
      <c r="R16" s="66">
        <v>13765.2</v>
      </c>
      <c r="S16" s="68">
        <v>44.5</v>
      </c>
      <c r="T16" s="68">
        <v>90.5</v>
      </c>
      <c r="U16" s="68">
        <v>6.9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21984.800000000003</v>
      </c>
      <c r="AG16" s="71">
        <f t="shared" si="3"/>
        <v>1549.5</v>
      </c>
      <c r="AH16" s="75"/>
    </row>
    <row r="17" spans="1:34" ht="15.75">
      <c r="A17" s="3" t="s">
        <v>5</v>
      </c>
      <c r="B17" s="22">
        <f>35472-1930.3+1.3</f>
        <v>33543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>
        <v>23441.7</v>
      </c>
      <c r="S17" s="26">
        <v>11</v>
      </c>
      <c r="T17" s="26">
        <v>0.7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33671.299999999996</v>
      </c>
      <c r="AG17" s="27">
        <f t="shared" si="3"/>
        <v>1297.5000000000073</v>
      </c>
      <c r="AH17" s="6"/>
    </row>
    <row r="18" spans="1:33" ht="15.75">
      <c r="A18" s="3" t="s">
        <v>3</v>
      </c>
      <c r="B18" s="22">
        <v>13.4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>
        <v>1.9</v>
      </c>
      <c r="M18" s="22"/>
      <c r="N18" s="22"/>
      <c r="O18" s="27">
        <v>2.9</v>
      </c>
      <c r="P18" s="22">
        <v>1.2</v>
      </c>
      <c r="Q18" s="27"/>
      <c r="R18" s="22"/>
      <c r="S18" s="26">
        <v>0.4</v>
      </c>
      <c r="T18" s="26">
        <v>1.1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7.5</v>
      </c>
      <c r="AG18" s="27">
        <f t="shared" si="3"/>
        <v>16.3</v>
      </c>
    </row>
    <row r="19" spans="1:33" ht="15.75">
      <c r="A19" s="3" t="s">
        <v>1</v>
      </c>
      <c r="B19" s="22">
        <f>3609-28.1</f>
        <v>3580.9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>
        <v>1.5</v>
      </c>
      <c r="K19" s="22"/>
      <c r="L19" s="22">
        <v>262.2</v>
      </c>
      <c r="M19" s="22">
        <v>1.5</v>
      </c>
      <c r="N19" s="22"/>
      <c r="O19" s="27">
        <f>797-7.7</f>
        <v>789.3</v>
      </c>
      <c r="P19" s="22">
        <v>6.1</v>
      </c>
      <c r="Q19" s="27">
        <v>101.2</v>
      </c>
      <c r="R19" s="22">
        <v>159</v>
      </c>
      <c r="S19" s="26">
        <v>638.7</v>
      </c>
      <c r="T19" s="26">
        <v>417.1</v>
      </c>
      <c r="U19" s="26">
        <v>1.5</v>
      </c>
      <c r="V19" s="26">
        <v>108.9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3117</v>
      </c>
      <c r="AG19" s="27">
        <f t="shared" si="3"/>
        <v>4110.9</v>
      </c>
    </row>
    <row r="20" spans="1:33" ht="15.75">
      <c r="A20" s="3" t="s">
        <v>2</v>
      </c>
      <c r="B20" s="22">
        <f>1246.2+1930.3-143+0.1</f>
        <v>3033.6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>
        <v>2045.4</v>
      </c>
      <c r="M20" s="22">
        <v>40</v>
      </c>
      <c r="N20" s="22">
        <v>25.8</v>
      </c>
      <c r="O20" s="27">
        <v>712.2</v>
      </c>
      <c r="P20" s="22">
        <v>172.5</v>
      </c>
      <c r="Q20" s="27">
        <v>300.5</v>
      </c>
      <c r="R20" s="22">
        <v>9.8</v>
      </c>
      <c r="S20" s="26">
        <v>35.6</v>
      </c>
      <c r="T20" s="26">
        <v>53.9</v>
      </c>
      <c r="U20" s="26">
        <v>72.6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3847.6</v>
      </c>
      <c r="AG20" s="27">
        <f t="shared" si="3"/>
        <v>6042.5</v>
      </c>
    </row>
    <row r="21" spans="1:33" ht="15.75">
      <c r="A21" s="3" t="s">
        <v>17</v>
      </c>
      <c r="B21" s="22">
        <f>1199.7+28</f>
        <v>1227.7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>
        <v>178.6</v>
      </c>
      <c r="M21" s="22"/>
      <c r="N21" s="22"/>
      <c r="O21" s="27">
        <v>208.7</v>
      </c>
      <c r="P21" s="22"/>
      <c r="Q21" s="27">
        <v>296.2</v>
      </c>
      <c r="R21" s="22"/>
      <c r="S21" s="26"/>
      <c r="T21" s="26">
        <v>195.1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1061.1999999999998</v>
      </c>
      <c r="AG21" s="27">
        <f t="shared" si="3"/>
        <v>466.5000000000002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2086.9000000000005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210.8</v>
      </c>
      <c r="K23" s="22">
        <f t="shared" si="4"/>
        <v>0</v>
      </c>
      <c r="L23" s="22">
        <f t="shared" si="4"/>
        <v>201.7000000000002</v>
      </c>
      <c r="M23" s="22">
        <f t="shared" si="4"/>
        <v>0</v>
      </c>
      <c r="N23" s="22">
        <f t="shared" si="4"/>
        <v>0</v>
      </c>
      <c r="O23" s="22">
        <f t="shared" si="4"/>
        <v>336.8999999999999</v>
      </c>
      <c r="P23" s="22">
        <f t="shared" si="4"/>
        <v>75.70000000000002</v>
      </c>
      <c r="Q23" s="22">
        <f t="shared" si="4"/>
        <v>88.69999999999999</v>
      </c>
      <c r="R23" s="22">
        <f t="shared" si="4"/>
        <v>128.0999999999978</v>
      </c>
      <c r="S23" s="22">
        <f t="shared" si="4"/>
        <v>20.9</v>
      </c>
      <c r="T23" s="22">
        <f t="shared" si="4"/>
        <v>120.49999999999991</v>
      </c>
      <c r="U23" s="22">
        <f t="shared" si="4"/>
        <v>4.700000000000003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1496.5999999999995</v>
      </c>
      <c r="AG23" s="27">
        <f t="shared" si="3"/>
        <v>3265.300000000003</v>
      </c>
    </row>
    <row r="24" spans="1:33" ht="15" customHeight="1">
      <c r="A24" s="4" t="s">
        <v>7</v>
      </c>
      <c r="B24" s="22">
        <v>22106.3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>
        <v>9.3</v>
      </c>
      <c r="K24" s="22">
        <v>345</v>
      </c>
      <c r="L24" s="22">
        <v>3.7</v>
      </c>
      <c r="M24" s="22">
        <v>11.2</v>
      </c>
      <c r="N24" s="22"/>
      <c r="O24" s="27">
        <v>1210.1</v>
      </c>
      <c r="P24" s="22">
        <v>3</v>
      </c>
      <c r="Q24" s="27"/>
      <c r="R24" s="27"/>
      <c r="S24" s="26">
        <v>10814</v>
      </c>
      <c r="T24" s="26">
        <v>393.8</v>
      </c>
      <c r="U24" s="26"/>
      <c r="V24" s="26">
        <v>312.6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20924.499999999996</v>
      </c>
      <c r="AG24" s="27">
        <f t="shared" si="3"/>
        <v>6078.100000000002</v>
      </c>
    </row>
    <row r="25" spans="1:34" s="70" customFormat="1" ht="15" customHeight="1">
      <c r="A25" s="65" t="s">
        <v>47</v>
      </c>
      <c r="B25" s="66">
        <f>20729.1-4835.2+25.1</f>
        <v>15918.999999999998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>
        <v>9.3</v>
      </c>
      <c r="K25" s="66">
        <v>345</v>
      </c>
      <c r="L25" s="66">
        <v>3.7</v>
      </c>
      <c r="M25" s="66">
        <v>11.2</v>
      </c>
      <c r="N25" s="66"/>
      <c r="O25" s="69">
        <v>1094.2</v>
      </c>
      <c r="P25" s="66">
        <v>3</v>
      </c>
      <c r="Q25" s="69"/>
      <c r="R25" s="69"/>
      <c r="S25" s="68">
        <v>6313.1</v>
      </c>
      <c r="T25" s="68">
        <v>20</v>
      </c>
      <c r="U25" s="68"/>
      <c r="V25" s="68">
        <v>86.1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15492.900000000001</v>
      </c>
      <c r="AG25" s="71">
        <f t="shared" si="3"/>
        <v>3278.399999999998</v>
      </c>
      <c r="AH25" s="75"/>
    </row>
    <row r="26" spans="1:34" ht="15.75">
      <c r="A26" s="3" t="s">
        <v>5</v>
      </c>
      <c r="B26" s="22">
        <f>15810.5+119.4</f>
        <v>15929.9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>
        <v>10229</v>
      </c>
      <c r="T26" s="26">
        <v>319.3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16757.3</v>
      </c>
      <c r="AG26" s="27">
        <f t="shared" si="3"/>
        <v>467.7999999999993</v>
      </c>
      <c r="AH26" s="6"/>
    </row>
    <row r="27" spans="1:33" ht="15.75">
      <c r="A27" s="3" t="s">
        <v>3</v>
      </c>
      <c r="B27" s="22">
        <f>2805.4-124.4</f>
        <v>2681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>
        <v>8.6</v>
      </c>
      <c r="K27" s="22">
        <v>37.8</v>
      </c>
      <c r="L27" s="22"/>
      <c r="M27" s="22"/>
      <c r="N27" s="22"/>
      <c r="O27" s="27">
        <v>540.8</v>
      </c>
      <c r="P27" s="22"/>
      <c r="Q27" s="27"/>
      <c r="R27" s="22"/>
      <c r="S27" s="26">
        <v>303.1</v>
      </c>
      <c r="T27" s="26">
        <v>41.5</v>
      </c>
      <c r="U27" s="26"/>
      <c r="V27" s="26">
        <v>125.6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1414.9</v>
      </c>
      <c r="AG27" s="27">
        <f t="shared" si="3"/>
        <v>2645.9</v>
      </c>
    </row>
    <row r="28" spans="1:33" ht="15.75">
      <c r="A28" s="3" t="s">
        <v>1</v>
      </c>
      <c r="B28" s="22">
        <v>341.5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>
        <v>9.9</v>
      </c>
      <c r="L28" s="22"/>
      <c r="M28" s="22"/>
      <c r="N28" s="22"/>
      <c r="O28" s="27">
        <v>37.6</v>
      </c>
      <c r="P28" s="22"/>
      <c r="Q28" s="27"/>
      <c r="R28" s="22"/>
      <c r="S28" s="26">
        <v>110.2</v>
      </c>
      <c r="T28" s="26"/>
      <c r="U28" s="26"/>
      <c r="V28" s="26">
        <v>182.3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394.90000000000003</v>
      </c>
      <c r="AG28" s="27">
        <f t="shared" si="3"/>
        <v>8.899999999999977</v>
      </c>
    </row>
    <row r="29" spans="1:33" ht="15.75">
      <c r="A29" s="3" t="s">
        <v>2</v>
      </c>
      <c r="B29" s="22">
        <v>2552.5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>
        <v>189.4</v>
      </c>
      <c r="L29" s="22">
        <v>3.7</v>
      </c>
      <c r="M29" s="22">
        <v>11.2</v>
      </c>
      <c r="N29" s="22"/>
      <c r="O29" s="27">
        <v>527.3</v>
      </c>
      <c r="P29" s="22"/>
      <c r="Q29" s="27"/>
      <c r="R29" s="22"/>
      <c r="S29" s="26">
        <v>61.2</v>
      </c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1793.8000000000002</v>
      </c>
      <c r="AG29" s="27">
        <f t="shared" si="3"/>
        <v>2460.8999999999996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>
        <v>83.5</v>
      </c>
      <c r="L30" s="22"/>
      <c r="M30" s="22"/>
      <c r="N30" s="22"/>
      <c r="O30" s="27">
        <v>19.6</v>
      </c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128.5</v>
      </c>
      <c r="AG30" s="27">
        <f t="shared" si="3"/>
        <v>27.19999999999999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467.39999999999964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0.7000000000000011</v>
      </c>
      <c r="K32" s="22">
        <f t="shared" si="5"/>
        <v>24.400000000000006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84.79999999999998</v>
      </c>
      <c r="P32" s="22">
        <f t="shared" si="5"/>
        <v>3</v>
      </c>
      <c r="Q32" s="22">
        <f t="shared" si="5"/>
        <v>0</v>
      </c>
      <c r="R32" s="22">
        <f t="shared" si="5"/>
        <v>0</v>
      </c>
      <c r="S32" s="22">
        <f t="shared" si="5"/>
        <v>110.49999999999999</v>
      </c>
      <c r="T32" s="22">
        <f t="shared" si="5"/>
        <v>33</v>
      </c>
      <c r="U32" s="22">
        <f t="shared" si="5"/>
        <v>0</v>
      </c>
      <c r="V32" s="22">
        <f t="shared" si="5"/>
        <v>4.700000000000017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435.0999999999999</v>
      </c>
      <c r="AG32" s="27">
        <f>AG24-AG26-AG27-AG28-AG29-AG30-AG31</f>
        <v>467.4000000000031</v>
      </c>
    </row>
    <row r="33" spans="1:33" ht="15" customHeight="1">
      <c r="A33" s="4" t="s">
        <v>8</v>
      </c>
      <c r="B33" s="22">
        <v>386.7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>
        <v>13.8</v>
      </c>
      <c r="K33" s="22"/>
      <c r="L33" s="22"/>
      <c r="M33" s="22"/>
      <c r="N33" s="22"/>
      <c r="O33" s="27"/>
      <c r="P33" s="22">
        <v>0.9</v>
      </c>
      <c r="Q33" s="27"/>
      <c r="R33" s="22"/>
      <c r="S33" s="26">
        <v>95.5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155.8</v>
      </c>
      <c r="AG33" s="27">
        <f aca="true" t="shared" si="6" ref="AG33:AG38">B33+C33-AF33</f>
        <v>394.09999999999997</v>
      </c>
    </row>
    <row r="34" spans="1:33" ht="15.75">
      <c r="A34" s="3" t="s">
        <v>5</v>
      </c>
      <c r="B34" s="22">
        <f>147.6+2.3</f>
        <v>149.9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>
        <v>92.3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133.7</v>
      </c>
      <c r="AG34" s="27">
        <f t="shared" si="6"/>
        <v>23.50000000000003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f>54.1-2.3</f>
        <v>51.800000000000004</v>
      </c>
      <c r="C36" s="22">
        <v>131.8</v>
      </c>
      <c r="D36" s="22"/>
      <c r="E36" s="22"/>
      <c r="F36" s="22"/>
      <c r="G36" s="22"/>
      <c r="H36" s="22"/>
      <c r="I36" s="22"/>
      <c r="J36" s="26">
        <v>12.6</v>
      </c>
      <c r="K36" s="22"/>
      <c r="L36" s="22"/>
      <c r="M36" s="22"/>
      <c r="N36" s="22"/>
      <c r="O36" s="27"/>
      <c r="P36" s="22">
        <v>0.9</v>
      </c>
      <c r="Q36" s="27"/>
      <c r="R36" s="22"/>
      <c r="S36" s="26">
        <v>3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16.5</v>
      </c>
      <c r="AG36" s="27">
        <f t="shared" si="6"/>
        <v>167.10000000000002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19.099999999999966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1.200000000000001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0.20000000000000284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5.600000000000007</v>
      </c>
      <c r="AG39" s="27">
        <f>AG33-AG34-AG36-AG38-AG35-AG37</f>
        <v>37.59999999999988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>
        <v>1.8</v>
      </c>
      <c r="L40" s="22"/>
      <c r="M40" s="22"/>
      <c r="N40" s="22"/>
      <c r="O40" s="27">
        <v>5.2</v>
      </c>
      <c r="P40" s="22"/>
      <c r="Q40" s="27"/>
      <c r="R40" s="27"/>
      <c r="S40" s="26">
        <v>302.3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587.6</v>
      </c>
      <c r="AG40" s="27">
        <f aca="true" t="shared" si="8" ref="AG40:AG45">B40+C40-AF40</f>
        <v>154.39999999999998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>
        <v>298.3</v>
      </c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537.7</v>
      </c>
      <c r="AG41" s="27">
        <f t="shared" si="8"/>
        <v>67.79999999999995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.7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>
        <v>2.5</v>
      </c>
      <c r="P44" s="22"/>
      <c r="Q44" s="22"/>
      <c r="R44" s="22"/>
      <c r="S44" s="26">
        <v>1.6</v>
      </c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26.400000000000002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1.8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2.7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2.4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16.500000000000004</v>
      </c>
      <c r="AG46" s="27">
        <f>AG40-AG41-AG42-AG43-AG44-AG45</f>
        <v>53.10000000000002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15.1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>
        <v>53.6</v>
      </c>
      <c r="M47" s="28"/>
      <c r="N47" s="28"/>
      <c r="O47" s="31"/>
      <c r="P47" s="28">
        <v>35.7</v>
      </c>
      <c r="Q47" s="28">
        <v>10.2</v>
      </c>
      <c r="R47" s="28">
        <v>144.2</v>
      </c>
      <c r="S47" s="29">
        <v>116.1</v>
      </c>
      <c r="T47" s="29">
        <v>49.6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699.7</v>
      </c>
      <c r="AG47" s="27">
        <f>B47+C47-AF47</f>
        <v>1002.9999999999998</v>
      </c>
    </row>
    <row r="48" spans="1:33" ht="15.75">
      <c r="A48" s="3" t="s">
        <v>5</v>
      </c>
      <c r="B48" s="22">
        <v>31.2</v>
      </c>
      <c r="C48" s="22">
        <v>29.6</v>
      </c>
      <c r="D48" s="22">
        <v>15.1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15.1</v>
      </c>
      <c r="AG48" s="27">
        <f>B48+C48-AF48</f>
        <v>45.699999999999996</v>
      </c>
    </row>
    <row r="49" spans="1:33" ht="15.75">
      <c r="A49" s="3" t="s">
        <v>17</v>
      </c>
      <c r="B49" s="22">
        <f>765.2-27</f>
        <v>738.2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>
        <v>53.1</v>
      </c>
      <c r="M49" s="22"/>
      <c r="N49" s="22"/>
      <c r="O49" s="27"/>
      <c r="P49" s="22">
        <v>32</v>
      </c>
      <c r="Q49" s="22"/>
      <c r="R49" s="22">
        <v>115.3</v>
      </c>
      <c r="S49" s="26">
        <v>110.8</v>
      </c>
      <c r="T49" s="26">
        <v>43.6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590</v>
      </c>
      <c r="AG49" s="27">
        <f>B49+C49-AF49</f>
        <v>562.9000000000001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236.4999999999999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0.5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3.700000000000003</v>
      </c>
      <c r="Q51" s="22">
        <f t="shared" si="11"/>
        <v>10.2</v>
      </c>
      <c r="R51" s="22">
        <f t="shared" si="11"/>
        <v>28.89999999999999</v>
      </c>
      <c r="S51" s="22">
        <f t="shared" si="11"/>
        <v>5.299999999999997</v>
      </c>
      <c r="T51" s="22">
        <f t="shared" si="11"/>
        <v>6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94.60000000000001</v>
      </c>
      <c r="AG51" s="27">
        <f>AG47-AG49-AG48</f>
        <v>394.3999999999997</v>
      </c>
    </row>
    <row r="52" spans="1:33" ht="15" customHeight="1">
      <c r="A52" s="4" t="s">
        <v>0</v>
      </c>
      <c r="B52" s="22">
        <f>8801.5-1.1</f>
        <v>8800.4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>
        <v>24.1</v>
      </c>
      <c r="K52" s="22"/>
      <c r="L52" s="22">
        <v>111.3</v>
      </c>
      <c r="M52" s="22">
        <v>414.6</v>
      </c>
      <c r="N52" s="22">
        <f>200.4+295.4</f>
        <v>495.79999999999995</v>
      </c>
      <c r="O52" s="27">
        <v>768.4</v>
      </c>
      <c r="P52" s="22">
        <f>880.1+257.1+801.1</f>
        <v>1938.3000000000002</v>
      </c>
      <c r="Q52" s="22"/>
      <c r="R52" s="22">
        <v>28.2</v>
      </c>
      <c r="S52" s="26"/>
      <c r="T52" s="26">
        <v>245.7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5806.1</v>
      </c>
      <c r="AG52" s="27">
        <f aca="true" t="shared" si="12" ref="AG52:AG59">B52+C52-AF52</f>
        <v>9181.499999999998</v>
      </c>
    </row>
    <row r="53" spans="1:33" ht="15" customHeight="1">
      <c r="A53" s="3" t="s">
        <v>2</v>
      </c>
      <c r="B53" s="22">
        <f>446.7+361.4</f>
        <v>808.0999999999999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593.8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>
        <v>51.2</v>
      </c>
      <c r="K54" s="22">
        <v>207.6</v>
      </c>
      <c r="L54" s="22">
        <v>15.4</v>
      </c>
      <c r="M54" s="22">
        <v>126.4</v>
      </c>
      <c r="N54" s="22">
        <v>15.3</v>
      </c>
      <c r="O54" s="27">
        <v>9.8</v>
      </c>
      <c r="P54" s="22">
        <v>0.5</v>
      </c>
      <c r="Q54" s="27">
        <v>34.2</v>
      </c>
      <c r="R54" s="22">
        <v>1655.6</v>
      </c>
      <c r="S54" s="26">
        <v>70.2</v>
      </c>
      <c r="T54" s="26">
        <v>2.8</v>
      </c>
      <c r="U54" s="26">
        <v>42.6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4184.300000000001</v>
      </c>
      <c r="AG54" s="22">
        <f t="shared" si="12"/>
        <v>1757.499999999999</v>
      </c>
      <c r="AH54" s="6"/>
    </row>
    <row r="55" spans="1:34" ht="15.75">
      <c r="A55" s="3" t="s">
        <v>5</v>
      </c>
      <c r="B55" s="22">
        <f>2953.4+46.1</f>
        <v>2999.5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>
        <v>1624.5</v>
      </c>
      <c r="S55" s="26">
        <v>11.9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3021.7000000000003</v>
      </c>
      <c r="AG55" s="22">
        <f t="shared" si="12"/>
        <v>213.5999999999999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>
        <v>0.9</v>
      </c>
      <c r="L57" s="22"/>
      <c r="M57" s="22">
        <v>17.4</v>
      </c>
      <c r="N57" s="22">
        <v>1.9</v>
      </c>
      <c r="O57" s="27">
        <v>1.5</v>
      </c>
      <c r="P57" s="22">
        <v>0.3</v>
      </c>
      <c r="Q57" s="27">
        <v>21.8</v>
      </c>
      <c r="R57" s="22">
        <v>2.3</v>
      </c>
      <c r="S57" s="26">
        <v>2</v>
      </c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78.19999999999999</v>
      </c>
      <c r="AG57" s="22">
        <f t="shared" si="12"/>
        <v>605.8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1199.0000000000002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51.2</v>
      </c>
      <c r="K60" s="22">
        <f t="shared" si="13"/>
        <v>206.7</v>
      </c>
      <c r="L60" s="22">
        <f t="shared" si="13"/>
        <v>15.4</v>
      </c>
      <c r="M60" s="22">
        <f t="shared" si="13"/>
        <v>109</v>
      </c>
      <c r="N60" s="22">
        <f t="shared" si="13"/>
        <v>13.4</v>
      </c>
      <c r="O60" s="22">
        <f t="shared" si="13"/>
        <v>8.3</v>
      </c>
      <c r="P60" s="22">
        <f t="shared" si="13"/>
        <v>0.2</v>
      </c>
      <c r="Q60" s="22">
        <f t="shared" si="13"/>
        <v>7.3000000000000025</v>
      </c>
      <c r="R60" s="22">
        <f t="shared" si="13"/>
        <v>28.79999999999991</v>
      </c>
      <c r="S60" s="22">
        <f t="shared" si="13"/>
        <v>56.300000000000004</v>
      </c>
      <c r="T60" s="22">
        <f t="shared" si="13"/>
        <v>2.8</v>
      </c>
      <c r="U60" s="22">
        <f t="shared" si="13"/>
        <v>42.6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1079.3000000000009</v>
      </c>
      <c r="AG60" s="22">
        <f>AG54-AG55-AG57-AG59-AG56-AG58</f>
        <v>938.0999999999992</v>
      </c>
    </row>
    <row r="61" spans="1:33" ht="15" customHeight="1">
      <c r="A61" s="4" t="s">
        <v>10</v>
      </c>
      <c r="B61" s="22">
        <f>70+2.9</f>
        <v>72.9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>
        <v>28.5</v>
      </c>
      <c r="L61" s="22">
        <v>0.1</v>
      </c>
      <c r="M61" s="22"/>
      <c r="N61" s="22">
        <v>1.2</v>
      </c>
      <c r="O61" s="27"/>
      <c r="P61" s="22"/>
      <c r="Q61" s="27"/>
      <c r="R61" s="22"/>
      <c r="S61" s="26">
        <v>34</v>
      </c>
      <c r="T61" s="26"/>
      <c r="U61" s="26"/>
      <c r="V61" s="26">
        <v>0.6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78.69999999999999</v>
      </c>
      <c r="AG61" s="22">
        <f aca="true" t="shared" si="15" ref="AG61:AG67">B61+C61-AF61</f>
        <v>63.5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>
        <v>80.2</v>
      </c>
      <c r="L62" s="22"/>
      <c r="M62" s="22">
        <v>4.9</v>
      </c>
      <c r="N62" s="22">
        <v>57.7</v>
      </c>
      <c r="O62" s="27"/>
      <c r="P62" s="22">
        <v>92.3</v>
      </c>
      <c r="Q62" s="27"/>
      <c r="R62" s="22"/>
      <c r="S62" s="26">
        <v>667.1</v>
      </c>
      <c r="T62" s="26">
        <v>12.7</v>
      </c>
      <c r="U62" s="26">
        <v>3.5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1445.5000000000002</v>
      </c>
      <c r="AG62" s="22">
        <f t="shared" si="15"/>
        <v>999.1999999999996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>
        <v>554.2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855.2</v>
      </c>
      <c r="AG63" s="22">
        <f t="shared" si="15"/>
        <v>372.79999999999995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34.1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>
        <v>9.4</v>
      </c>
      <c r="L65" s="22"/>
      <c r="M65" s="22"/>
      <c r="N65" s="22">
        <v>10</v>
      </c>
      <c r="O65" s="27"/>
      <c r="P65" s="22">
        <v>8.9</v>
      </c>
      <c r="Q65" s="27"/>
      <c r="R65" s="22"/>
      <c r="S65" s="26">
        <v>5.1</v>
      </c>
      <c r="T65" s="26">
        <v>7.2</v>
      </c>
      <c r="U65" s="26">
        <v>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46.900000000000006</v>
      </c>
      <c r="AG65" s="22">
        <f t="shared" si="15"/>
        <v>12.599999999999994</v>
      </c>
      <c r="AH65" s="6"/>
    </row>
    <row r="66" spans="1:33" ht="15.75">
      <c r="A66" s="3" t="s">
        <v>2</v>
      </c>
      <c r="B66" s="22">
        <v>79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>
        <v>5.5</v>
      </c>
      <c r="L66" s="22"/>
      <c r="M66" s="22"/>
      <c r="N66" s="22">
        <v>7</v>
      </c>
      <c r="O66" s="27"/>
      <c r="P66" s="22">
        <v>1.9</v>
      </c>
      <c r="Q66" s="22"/>
      <c r="R66" s="22"/>
      <c r="S66" s="26">
        <v>1.5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31.7</v>
      </c>
      <c r="AG66" s="22">
        <f t="shared" si="15"/>
        <v>197.10000000000002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65.3</v>
      </c>
      <c r="L68" s="22">
        <f t="shared" si="16"/>
        <v>0</v>
      </c>
      <c r="M68" s="22">
        <f t="shared" si="16"/>
        <v>4.9</v>
      </c>
      <c r="N68" s="22">
        <f t="shared" si="16"/>
        <v>40.7</v>
      </c>
      <c r="O68" s="22">
        <f t="shared" si="16"/>
        <v>0</v>
      </c>
      <c r="P68" s="22">
        <f t="shared" si="16"/>
        <v>81.49999999999999</v>
      </c>
      <c r="Q68" s="22">
        <f t="shared" si="16"/>
        <v>0</v>
      </c>
      <c r="R68" s="22">
        <f t="shared" si="16"/>
        <v>0</v>
      </c>
      <c r="S68" s="22">
        <f t="shared" si="16"/>
        <v>106.29999999999998</v>
      </c>
      <c r="T68" s="22">
        <f t="shared" si="16"/>
        <v>5.499999999999999</v>
      </c>
      <c r="U68" s="22">
        <f t="shared" si="16"/>
        <v>2.5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511.69999999999993</v>
      </c>
      <c r="AG68" s="22">
        <f>AG62-AG63-AG66-AG67-AG65-AG64</f>
        <v>416.6999999999996</v>
      </c>
    </row>
    <row r="69" spans="1:33" ht="31.5">
      <c r="A69" s="4" t="s">
        <v>32</v>
      </c>
      <c r="B69" s="22">
        <f>926.5+4172.3</f>
        <v>5098.8</v>
      </c>
      <c r="C69" s="22">
        <v>138</v>
      </c>
      <c r="D69" s="22"/>
      <c r="E69" s="22"/>
      <c r="F69" s="22"/>
      <c r="G69" s="22"/>
      <c r="H69" s="22"/>
      <c r="I69" s="22"/>
      <c r="J69" s="26">
        <v>20.4</v>
      </c>
      <c r="K69" s="22"/>
      <c r="L69" s="22"/>
      <c r="M69" s="22"/>
      <c r="N69" s="22">
        <v>3015.8</v>
      </c>
      <c r="O69" s="22">
        <v>9</v>
      </c>
      <c r="P69" s="22">
        <v>1156.5</v>
      </c>
      <c r="Q69" s="22">
        <v>27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4228.700000000001</v>
      </c>
      <c r="AG69" s="30">
        <f aca="true" t="shared" si="17" ref="AG69:AG92">B69+C69-AF69</f>
        <v>1008.0999999999995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1000.8-44.6</f>
        <v>956.1999999999999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>
        <v>3.9</v>
      </c>
      <c r="K72" s="22">
        <v>6.1</v>
      </c>
      <c r="L72" s="22">
        <v>11.6</v>
      </c>
      <c r="M72" s="22">
        <v>6</v>
      </c>
      <c r="N72" s="22">
        <v>14.7</v>
      </c>
      <c r="O72" s="22">
        <v>2.9</v>
      </c>
      <c r="P72" s="22"/>
      <c r="Q72" s="27">
        <v>3.3</v>
      </c>
      <c r="R72" s="22">
        <v>20.6</v>
      </c>
      <c r="S72" s="26">
        <v>122.1</v>
      </c>
      <c r="T72" s="26">
        <v>12.8</v>
      </c>
      <c r="U72" s="26">
        <v>5.8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342.5</v>
      </c>
      <c r="AG72" s="30">
        <f t="shared" si="17"/>
        <v>1974.1999999999998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>
        <v>17.7</v>
      </c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>
        <v>2.9</v>
      </c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297.70000000000005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>
        <v>9.6</v>
      </c>
      <c r="Q76" s="31"/>
      <c r="R76" s="28"/>
      <c r="S76" s="29">
        <v>33.4</v>
      </c>
      <c r="T76" s="29">
        <v>0.9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</v>
      </c>
      <c r="AG76" s="30">
        <f t="shared" si="17"/>
        <v>503.79999999999995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>
        <v>33.4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79.1</v>
      </c>
      <c r="AG77" s="30">
        <f t="shared" si="17"/>
        <v>0.29999999999999716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5595+756.7-1286.8</f>
        <v>5064.9</v>
      </c>
      <c r="C89" s="22">
        <v>4546.4</v>
      </c>
      <c r="D89" s="22"/>
      <c r="E89" s="22">
        <v>100</v>
      </c>
      <c r="F89" s="22">
        <v>568</v>
      </c>
      <c r="G89" s="22"/>
      <c r="H89" s="22">
        <v>208.9</v>
      </c>
      <c r="I89" s="22"/>
      <c r="J89" s="22"/>
      <c r="K89" s="22"/>
      <c r="L89" s="22">
        <v>692.3</v>
      </c>
      <c r="M89" s="22">
        <v>545.3</v>
      </c>
      <c r="N89" s="22">
        <v>256.2</v>
      </c>
      <c r="O89" s="22">
        <v>7.3</v>
      </c>
      <c r="P89" s="22"/>
      <c r="Q89" s="22"/>
      <c r="R89" s="22">
        <v>541.9</v>
      </c>
      <c r="S89" s="26">
        <v>187.1</v>
      </c>
      <c r="T89" s="26">
        <v>120.3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3227.3</v>
      </c>
      <c r="AG89" s="22">
        <f t="shared" si="17"/>
        <v>6383.999999999999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>
        <v>805.6</v>
      </c>
      <c r="H90" s="22"/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46708.3+2569.7</f>
        <v>49278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>
        <v>1925.2</v>
      </c>
      <c r="K92" s="22">
        <v>5487.5</v>
      </c>
      <c r="L92" s="22">
        <v>2575.7</v>
      </c>
      <c r="M92" s="22">
        <v>1386.8</v>
      </c>
      <c r="N92" s="22"/>
      <c r="O92" s="22">
        <v>2800</v>
      </c>
      <c r="P92" s="22">
        <v>3291.9</v>
      </c>
      <c r="Q92" s="22">
        <v>2943.8</v>
      </c>
      <c r="R92" s="22"/>
      <c r="S92" s="26"/>
      <c r="T92" s="26"/>
      <c r="U92" s="22">
        <v>6733.2</v>
      </c>
      <c r="V92" s="22">
        <f>8553.9-805.6</f>
        <v>7748.299999999999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57328.40000000001</v>
      </c>
      <c r="AG92" s="22">
        <f t="shared" si="17"/>
        <v>8197.799999999988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151397.49999999997</v>
      </c>
      <c r="C94" s="42">
        <f t="shared" si="18"/>
        <v>55187.8</v>
      </c>
      <c r="D94" s="42">
        <f t="shared" si="18"/>
        <v>11191.2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2308.5</v>
      </c>
      <c r="K94" s="42">
        <f t="shared" si="18"/>
        <v>6192.2</v>
      </c>
      <c r="L94" s="42">
        <f t="shared" si="18"/>
        <v>6161.5</v>
      </c>
      <c r="M94" s="42">
        <f t="shared" si="18"/>
        <v>2560.3999999999996</v>
      </c>
      <c r="N94" s="42">
        <f t="shared" si="18"/>
        <v>3909.3999999999996</v>
      </c>
      <c r="O94" s="42">
        <f t="shared" si="18"/>
        <v>7686.5</v>
      </c>
      <c r="P94" s="42">
        <f t="shared" si="18"/>
        <v>6791</v>
      </c>
      <c r="Q94" s="42">
        <f t="shared" si="18"/>
        <v>3884</v>
      </c>
      <c r="R94" s="42">
        <f t="shared" si="18"/>
        <v>26330.699999999997</v>
      </c>
      <c r="S94" s="42">
        <f t="shared" si="18"/>
        <v>14502.7</v>
      </c>
      <c r="T94" s="42">
        <f t="shared" si="18"/>
        <v>3119.6000000000004</v>
      </c>
      <c r="U94" s="42">
        <f t="shared" si="18"/>
        <v>7363.299999999999</v>
      </c>
      <c r="V94" s="42">
        <f t="shared" si="18"/>
        <v>8977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150136.00000000003</v>
      </c>
      <c r="AG94" s="58">
        <f>AG10+AG15+AG24+AG33+AG47+AG52+AG54+AG61+AG62+AG69+AG71+AG72+AG76+AG81+AG82+AG83+AG88+AG89+AG90+AG91+AG70+AG40+AG92</f>
        <v>56449.299999999974</v>
      </c>
    </row>
    <row r="95" spans="1:33" ht="15.75">
      <c r="A95" s="3" t="s">
        <v>5</v>
      </c>
      <c r="B95" s="22">
        <f aca="true" t="shared" si="19" ref="B95:AD95">B11+B17+B26+B34+B55+B63+B73+B41+B77+B48</f>
        <v>58767.799999999996</v>
      </c>
      <c r="C95" s="22">
        <f t="shared" si="19"/>
        <v>4955.6</v>
      </c>
      <c r="D95" s="22">
        <f t="shared" si="19"/>
        <v>23.5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9.7</v>
      </c>
      <c r="K95" s="22">
        <f t="shared" si="19"/>
        <v>19.9</v>
      </c>
      <c r="L95" s="22">
        <f t="shared" si="19"/>
        <v>0</v>
      </c>
      <c r="M95" s="22">
        <f t="shared" si="19"/>
        <v>9.5</v>
      </c>
      <c r="N95" s="22">
        <f t="shared" si="19"/>
        <v>1.6</v>
      </c>
      <c r="O95" s="22">
        <f t="shared" si="19"/>
        <v>16.7</v>
      </c>
      <c r="P95" s="22">
        <f t="shared" si="19"/>
        <v>0</v>
      </c>
      <c r="Q95" s="22">
        <f t="shared" si="19"/>
        <v>0</v>
      </c>
      <c r="R95" s="22">
        <f t="shared" si="19"/>
        <v>25083.9</v>
      </c>
      <c r="S95" s="22">
        <f t="shared" si="19"/>
        <v>11958.399999999998</v>
      </c>
      <c r="T95" s="22">
        <f t="shared" si="19"/>
        <v>1612.1</v>
      </c>
      <c r="U95" s="22">
        <f t="shared" si="19"/>
        <v>321.1</v>
      </c>
      <c r="V95" s="22">
        <f t="shared" si="19"/>
        <v>0.8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58822.7</v>
      </c>
      <c r="AG95" s="27">
        <f>B95+C95-AF95</f>
        <v>4900.699999999997</v>
      </c>
    </row>
    <row r="96" spans="1:33" ht="15.75">
      <c r="A96" s="3" t="s">
        <v>2</v>
      </c>
      <c r="B96" s="22">
        <f aca="true" t="shared" si="20" ref="B96:AD96">B12+B20+B29+B36+B57+B66+B44+B80+B74+B53</f>
        <v>6745.499999999998</v>
      </c>
      <c r="C96" s="22">
        <f t="shared" si="20"/>
        <v>10493.800000000001</v>
      </c>
      <c r="D96" s="22">
        <f t="shared" si="20"/>
        <v>14.7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12.6</v>
      </c>
      <c r="K96" s="22">
        <f t="shared" si="20"/>
        <v>195.8</v>
      </c>
      <c r="L96" s="22">
        <f t="shared" si="20"/>
        <v>2049.1</v>
      </c>
      <c r="M96" s="22">
        <f t="shared" si="20"/>
        <v>68.6</v>
      </c>
      <c r="N96" s="22">
        <f t="shared" si="20"/>
        <v>36.599999999999994</v>
      </c>
      <c r="O96" s="22">
        <f t="shared" si="20"/>
        <v>1243.5</v>
      </c>
      <c r="P96" s="22">
        <f t="shared" si="20"/>
        <v>175.60000000000002</v>
      </c>
      <c r="Q96" s="22">
        <f t="shared" si="20"/>
        <v>322.3</v>
      </c>
      <c r="R96" s="22">
        <f t="shared" si="20"/>
        <v>13.7</v>
      </c>
      <c r="S96" s="22">
        <f t="shared" si="20"/>
        <v>135.70000000000002</v>
      </c>
      <c r="T96" s="22">
        <f t="shared" si="20"/>
        <v>53.9</v>
      </c>
      <c r="U96" s="22">
        <f t="shared" si="20"/>
        <v>72.6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6540.300000000001</v>
      </c>
      <c r="AG96" s="27">
        <f>B96+C96-AF96</f>
        <v>10698.999999999998</v>
      </c>
    </row>
    <row r="97" spans="1:33" ht="15.75">
      <c r="A97" s="3" t="s">
        <v>3</v>
      </c>
      <c r="B97" s="22">
        <f aca="true" t="shared" si="21" ref="B97:AA97">B18+B27+B42+B64+B78</f>
        <v>2774.4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8.6</v>
      </c>
      <c r="K97" s="22">
        <f t="shared" si="21"/>
        <v>37.8</v>
      </c>
      <c r="L97" s="22">
        <f t="shared" si="21"/>
        <v>1.9</v>
      </c>
      <c r="M97" s="22">
        <f t="shared" si="21"/>
        <v>0</v>
      </c>
      <c r="N97" s="22">
        <f t="shared" si="21"/>
        <v>0</v>
      </c>
      <c r="O97" s="22">
        <f t="shared" si="21"/>
        <v>543.6999999999999</v>
      </c>
      <c r="P97" s="22">
        <f t="shared" si="21"/>
        <v>1.2</v>
      </c>
      <c r="Q97" s="22">
        <f t="shared" si="21"/>
        <v>0</v>
      </c>
      <c r="R97" s="22">
        <f t="shared" si="21"/>
        <v>0</v>
      </c>
      <c r="S97" s="22">
        <f t="shared" si="21"/>
        <v>303.5</v>
      </c>
      <c r="T97" s="22">
        <f t="shared" si="21"/>
        <v>42.6</v>
      </c>
      <c r="U97" s="22">
        <f t="shared" si="21"/>
        <v>0</v>
      </c>
      <c r="V97" s="22">
        <f t="shared" si="21"/>
        <v>125.6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1422.3999999999999</v>
      </c>
      <c r="AG97" s="27">
        <f>B97+C97-AF97</f>
        <v>2742.2000000000007</v>
      </c>
    </row>
    <row r="98" spans="1:33" ht="15.75">
      <c r="A98" s="3" t="s">
        <v>1</v>
      </c>
      <c r="B98" s="22">
        <f aca="true" t="shared" si="22" ref="B98:AD98">B19+B28+B65+B35+B43+B56+B79</f>
        <v>4126.2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1.5</v>
      </c>
      <c r="K98" s="22">
        <f t="shared" si="22"/>
        <v>19.3</v>
      </c>
      <c r="L98" s="22">
        <f t="shared" si="22"/>
        <v>262.2</v>
      </c>
      <c r="M98" s="22">
        <f t="shared" si="22"/>
        <v>1.5</v>
      </c>
      <c r="N98" s="22">
        <f t="shared" si="22"/>
        <v>10</v>
      </c>
      <c r="O98" s="22">
        <f t="shared" si="22"/>
        <v>826.9</v>
      </c>
      <c r="P98" s="22">
        <f t="shared" si="22"/>
        <v>15</v>
      </c>
      <c r="Q98" s="22">
        <f t="shared" si="22"/>
        <v>101.2</v>
      </c>
      <c r="R98" s="22">
        <f t="shared" si="22"/>
        <v>159</v>
      </c>
      <c r="S98" s="22">
        <f t="shared" si="22"/>
        <v>754.0000000000001</v>
      </c>
      <c r="T98" s="22">
        <f t="shared" si="22"/>
        <v>424.3</v>
      </c>
      <c r="U98" s="22">
        <f t="shared" si="22"/>
        <v>2.5</v>
      </c>
      <c r="V98" s="22">
        <f t="shared" si="22"/>
        <v>291.20000000000005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3565.8</v>
      </c>
      <c r="AG98" s="27">
        <f>B98+C98-AF98</f>
        <v>4300.8</v>
      </c>
    </row>
    <row r="99" spans="1:33" ht="15.75">
      <c r="A99" s="3" t="s">
        <v>17</v>
      </c>
      <c r="B99" s="22">
        <f aca="true" t="shared" si="23" ref="B99:AD99">B21+B30+B49+B37+B58+B13+B75</f>
        <v>2193.9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83.5</v>
      </c>
      <c r="L99" s="22">
        <f t="shared" si="23"/>
        <v>231.7</v>
      </c>
      <c r="M99" s="22">
        <f t="shared" si="23"/>
        <v>0</v>
      </c>
      <c r="N99" s="22">
        <f t="shared" si="23"/>
        <v>0</v>
      </c>
      <c r="O99" s="22">
        <f t="shared" si="23"/>
        <v>228.29999999999998</v>
      </c>
      <c r="P99" s="22">
        <f t="shared" si="23"/>
        <v>32</v>
      </c>
      <c r="Q99" s="22">
        <f t="shared" si="23"/>
        <v>301.3</v>
      </c>
      <c r="R99" s="22">
        <f t="shared" si="23"/>
        <v>118.2</v>
      </c>
      <c r="S99" s="22">
        <f t="shared" si="23"/>
        <v>110.8</v>
      </c>
      <c r="T99" s="22">
        <f t="shared" si="23"/>
        <v>238.7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1787.7</v>
      </c>
      <c r="AG99" s="27">
        <f>B99+C99-AF99</f>
        <v>1354.3</v>
      </c>
    </row>
    <row r="100" spans="1:33" ht="12.75">
      <c r="A100" s="1" t="s">
        <v>41</v>
      </c>
      <c r="B100" s="2">
        <f aca="true" t="shared" si="24" ref="B100:AD100">B94-B95-B96-B97-B98-B99</f>
        <v>76789.7</v>
      </c>
      <c r="C100" s="2">
        <f t="shared" si="24"/>
        <v>33659.700000000004</v>
      </c>
      <c r="D100" s="2">
        <f t="shared" si="24"/>
        <v>10815.800000000001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2276.1000000000004</v>
      </c>
      <c r="K100" s="2">
        <f t="shared" si="24"/>
        <v>5835.9</v>
      </c>
      <c r="L100" s="2">
        <f t="shared" si="24"/>
        <v>3616.6000000000004</v>
      </c>
      <c r="M100" s="2">
        <f t="shared" si="24"/>
        <v>2480.7999999999997</v>
      </c>
      <c r="N100" s="2">
        <f t="shared" si="24"/>
        <v>3861.2</v>
      </c>
      <c r="O100" s="2">
        <f t="shared" si="24"/>
        <v>4827.400000000001</v>
      </c>
      <c r="P100" s="2">
        <f t="shared" si="24"/>
        <v>6567.2</v>
      </c>
      <c r="Q100" s="2">
        <f t="shared" si="24"/>
        <v>3159.2</v>
      </c>
      <c r="R100" s="2">
        <f t="shared" si="24"/>
        <v>955.8999999999955</v>
      </c>
      <c r="S100" s="2">
        <f t="shared" si="24"/>
        <v>1240.3000000000031</v>
      </c>
      <c r="T100" s="2">
        <f t="shared" si="24"/>
        <v>748.0000000000005</v>
      </c>
      <c r="U100" s="2">
        <f t="shared" si="24"/>
        <v>6967.0999999999985</v>
      </c>
      <c r="V100" s="2">
        <f t="shared" si="24"/>
        <v>8559.4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77997.10000000003</v>
      </c>
      <c r="AG100" s="2">
        <f>AG94-AG95-AG96-AG97-AG98-AG99</f>
        <v>32452.299999999977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J14" sqref="AJ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63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21</v>
      </c>
      <c r="R4" s="8">
        <v>22</v>
      </c>
      <c r="S4" s="19">
        <v>23</v>
      </c>
      <c r="T4" s="19">
        <v>24</v>
      </c>
      <c r="U4" s="8">
        <v>29</v>
      </c>
      <c r="V4" s="8">
        <v>30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>
        <v>907</v>
      </c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44552.2</v>
      </c>
      <c r="C7" s="72">
        <v>8179.7</v>
      </c>
      <c r="D7" s="45"/>
      <c r="E7" s="46">
        <v>22276.1</v>
      </c>
      <c r="F7" s="46"/>
      <c r="G7" s="46"/>
      <c r="H7" s="74"/>
      <c r="I7" s="46"/>
      <c r="J7" s="47"/>
      <c r="K7" s="46"/>
      <c r="L7" s="46"/>
      <c r="M7" s="46">
        <v>22276.1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6998.1</v>
      </c>
      <c r="AF7" s="72"/>
      <c r="AG7" s="48"/>
    </row>
    <row r="8" spans="1:55" ht="18" customHeight="1">
      <c r="A8" s="60" t="s">
        <v>34</v>
      </c>
      <c r="B8" s="40">
        <f>SUM(D8:AB8)</f>
        <v>74731.9</v>
      </c>
      <c r="C8" s="40">
        <v>145603.6</v>
      </c>
      <c r="D8" s="43">
        <v>5773.8</v>
      </c>
      <c r="E8" s="55">
        <v>4926.9</v>
      </c>
      <c r="F8" s="55">
        <v>1464.9</v>
      </c>
      <c r="G8" s="55">
        <v>2755.2</v>
      </c>
      <c r="H8" s="55">
        <v>3618.9</v>
      </c>
      <c r="I8" s="55">
        <v>5523.3</v>
      </c>
      <c r="J8" s="56">
        <v>1909.7</v>
      </c>
      <c r="K8" s="55">
        <v>998.7</v>
      </c>
      <c r="L8" s="55">
        <v>1928.4</v>
      </c>
      <c r="M8" s="55">
        <v>1769.8</v>
      </c>
      <c r="N8" s="55">
        <v>2093</v>
      </c>
      <c r="O8" s="55">
        <v>6466.3</v>
      </c>
      <c r="P8" s="55">
        <v>4085.6</v>
      </c>
      <c r="Q8" s="55">
        <v>3966.5</v>
      </c>
      <c r="R8" s="55">
        <v>3344.6</v>
      </c>
      <c r="S8" s="57">
        <v>4018.7</v>
      </c>
      <c r="T8" s="57">
        <v>2558.6</v>
      </c>
      <c r="U8" s="55">
        <v>6499.7</v>
      </c>
      <c r="V8" s="55">
        <v>11029.3</v>
      </c>
      <c r="W8" s="55"/>
      <c r="X8" s="56"/>
      <c r="Y8" s="56"/>
      <c r="Z8" s="56"/>
      <c r="AA8" s="56"/>
      <c r="AB8" s="55"/>
      <c r="AC8" s="23"/>
      <c r="AD8" s="23"/>
      <c r="AE8" s="61">
        <v>113789.5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143611.1</v>
      </c>
      <c r="C9" s="24">
        <f t="shared" si="0"/>
        <v>56449.29999999999</v>
      </c>
      <c r="D9" s="24">
        <f t="shared" si="0"/>
        <v>5774</v>
      </c>
      <c r="E9" s="24">
        <f t="shared" si="0"/>
        <v>6298.1</v>
      </c>
      <c r="F9" s="24">
        <f t="shared" si="0"/>
        <v>1555</v>
      </c>
      <c r="G9" s="24">
        <f t="shared" si="0"/>
        <v>2755.2</v>
      </c>
      <c r="H9" s="24">
        <f t="shared" si="0"/>
        <v>3618.9</v>
      </c>
      <c r="I9" s="24">
        <f t="shared" si="0"/>
        <v>14239.100000000002</v>
      </c>
      <c r="J9" s="24">
        <f t="shared" si="0"/>
        <v>3510.2</v>
      </c>
      <c r="K9" s="24">
        <f t="shared" si="0"/>
        <v>1052.6</v>
      </c>
      <c r="L9" s="24">
        <f t="shared" si="0"/>
        <v>20600.100000000002</v>
      </c>
      <c r="M9" s="24">
        <f t="shared" si="0"/>
        <v>16534.8</v>
      </c>
      <c r="N9" s="24">
        <f t="shared" si="0"/>
        <v>2099.6</v>
      </c>
      <c r="O9" s="24">
        <f t="shared" si="0"/>
        <v>6461.6</v>
      </c>
      <c r="P9" s="24">
        <f t="shared" si="0"/>
        <v>4361.799999999999</v>
      </c>
      <c r="Q9" s="24">
        <f t="shared" si="0"/>
        <v>4702.2</v>
      </c>
      <c r="R9" s="24">
        <f t="shared" si="0"/>
        <v>3709.2999999999997</v>
      </c>
      <c r="S9" s="24">
        <f t="shared" si="0"/>
        <v>11291.599999999999</v>
      </c>
      <c r="T9" s="24">
        <f t="shared" si="0"/>
        <v>22515.100000000002</v>
      </c>
      <c r="U9" s="24">
        <f t="shared" si="0"/>
        <v>11603.8</v>
      </c>
      <c r="V9" s="24">
        <f t="shared" si="0"/>
        <v>10503.8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153186.8</v>
      </c>
      <c r="AG9" s="50">
        <f>AG10+AG15+AG24+AG33+AG47+AG52+AG54+AG61+AG62+AG71+AG72+AG76+AG88+AG81+AG83+AG82+AG69+AG89+AG91+AG90+AG70+AG40+AG92</f>
        <v>46873.60000000001</v>
      </c>
      <c r="AH9" s="49"/>
      <c r="AI9" s="49"/>
    </row>
    <row r="10" spans="1:33" ht="15.75">
      <c r="A10" s="4" t="s">
        <v>4</v>
      </c>
      <c r="B10" s="22">
        <f>4930.1+11.7</f>
        <v>4941.8</v>
      </c>
      <c r="C10" s="22">
        <v>3530.4</v>
      </c>
      <c r="D10" s="22">
        <v>1.7</v>
      </c>
      <c r="E10" s="22">
        <v>178.2</v>
      </c>
      <c r="F10" s="22">
        <v>25.5</v>
      </c>
      <c r="G10" s="22">
        <v>182.3</v>
      </c>
      <c r="H10" s="22">
        <v>5.6</v>
      </c>
      <c r="I10" s="22">
        <v>37</v>
      </c>
      <c r="J10" s="25">
        <v>9.9</v>
      </c>
      <c r="K10" s="22">
        <v>0.6</v>
      </c>
      <c r="L10" s="22">
        <v>1194.6</v>
      </c>
      <c r="M10" s="22">
        <f>523+14.6</f>
        <v>537.6</v>
      </c>
      <c r="N10" s="22">
        <v>26.2</v>
      </c>
      <c r="O10" s="27">
        <v>11.2</v>
      </c>
      <c r="P10" s="22">
        <v>35</v>
      </c>
      <c r="Q10" s="22">
        <v>108.3</v>
      </c>
      <c r="R10" s="22">
        <v>22.7</v>
      </c>
      <c r="S10" s="26">
        <v>1259.6</v>
      </c>
      <c r="T10" s="26">
        <v>364.2</v>
      </c>
      <c r="U10" s="26">
        <v>910.7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4910.9</v>
      </c>
      <c r="AG10" s="27">
        <f>B10+C10-AF10</f>
        <v>3561.300000000001</v>
      </c>
    </row>
    <row r="11" spans="1:33" ht="15.75">
      <c r="A11" s="3" t="s">
        <v>5</v>
      </c>
      <c r="B11" s="22">
        <v>4274.3</v>
      </c>
      <c r="C11" s="22">
        <v>2411.7</v>
      </c>
      <c r="D11" s="22"/>
      <c r="E11" s="22">
        <v>14.8</v>
      </c>
      <c r="F11" s="22"/>
      <c r="G11" s="22">
        <v>16.9</v>
      </c>
      <c r="H11" s="22"/>
      <c r="I11" s="22">
        <v>4.9</v>
      </c>
      <c r="J11" s="26">
        <v>0.8</v>
      </c>
      <c r="K11" s="22"/>
      <c r="L11" s="22">
        <v>1182.9</v>
      </c>
      <c r="M11" s="22">
        <f>471.7+14.6</f>
        <v>486.3</v>
      </c>
      <c r="N11" s="22">
        <v>13</v>
      </c>
      <c r="O11" s="27"/>
      <c r="P11" s="22">
        <v>15</v>
      </c>
      <c r="Q11" s="22"/>
      <c r="R11" s="22"/>
      <c r="S11" s="26">
        <v>1250</v>
      </c>
      <c r="T11" s="26">
        <v>346.4</v>
      </c>
      <c r="U11" s="26">
        <v>884.6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4215.6</v>
      </c>
      <c r="AG11" s="27">
        <f>B11+C11-AF11</f>
        <v>2470.3999999999996</v>
      </c>
    </row>
    <row r="12" spans="1:33" ht="15.75">
      <c r="A12" s="3" t="s">
        <v>2</v>
      </c>
      <c r="B12" s="36">
        <v>76</v>
      </c>
      <c r="C12" s="22">
        <v>257</v>
      </c>
      <c r="D12" s="22"/>
      <c r="E12" s="22"/>
      <c r="F12" s="22"/>
      <c r="G12" s="22">
        <v>150.2</v>
      </c>
      <c r="H12" s="22"/>
      <c r="I12" s="22"/>
      <c r="J12" s="26">
        <v>0.9</v>
      </c>
      <c r="K12" s="22">
        <v>0.6</v>
      </c>
      <c r="L12" s="22"/>
      <c r="M12" s="22"/>
      <c r="N12" s="22"/>
      <c r="O12" s="27"/>
      <c r="P12" s="22"/>
      <c r="Q12" s="22"/>
      <c r="R12" s="22"/>
      <c r="S12" s="26"/>
      <c r="T12" s="26">
        <v>2.2</v>
      </c>
      <c r="U12" s="26">
        <v>0.6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154.49999999999997</v>
      </c>
      <c r="AG12" s="27">
        <f>B12+C12-AF12</f>
        <v>178.50000000000003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591.5</v>
      </c>
      <c r="C14" s="22">
        <f t="shared" si="2"/>
        <v>861.7000000000003</v>
      </c>
      <c r="D14" s="22">
        <f t="shared" si="2"/>
        <v>1.7</v>
      </c>
      <c r="E14" s="22">
        <f t="shared" si="2"/>
        <v>163.39999999999998</v>
      </c>
      <c r="F14" s="22">
        <f t="shared" si="2"/>
        <v>25.5</v>
      </c>
      <c r="G14" s="22">
        <f t="shared" si="2"/>
        <v>15.200000000000017</v>
      </c>
      <c r="H14" s="22">
        <f t="shared" si="2"/>
        <v>5.6</v>
      </c>
      <c r="I14" s="22">
        <f t="shared" si="2"/>
        <v>32.1</v>
      </c>
      <c r="J14" s="22">
        <f t="shared" si="2"/>
        <v>8.2</v>
      </c>
      <c r="K14" s="22">
        <f t="shared" si="2"/>
        <v>0</v>
      </c>
      <c r="L14" s="22">
        <f t="shared" si="2"/>
        <v>11.699999999999818</v>
      </c>
      <c r="M14" s="22">
        <f t="shared" si="2"/>
        <v>51.30000000000001</v>
      </c>
      <c r="N14" s="22">
        <f t="shared" si="2"/>
        <v>13.2</v>
      </c>
      <c r="O14" s="22">
        <f t="shared" si="2"/>
        <v>11.2</v>
      </c>
      <c r="P14" s="22">
        <f t="shared" si="2"/>
        <v>20</v>
      </c>
      <c r="Q14" s="22">
        <f t="shared" si="2"/>
        <v>108.3</v>
      </c>
      <c r="R14" s="22">
        <f t="shared" si="2"/>
        <v>22.7</v>
      </c>
      <c r="S14" s="22">
        <f t="shared" si="2"/>
        <v>9.599999999999909</v>
      </c>
      <c r="T14" s="22">
        <f t="shared" si="2"/>
        <v>15.600000000000012</v>
      </c>
      <c r="U14" s="22">
        <f t="shared" si="2"/>
        <v>25.50000000000002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540.7999999999996</v>
      </c>
      <c r="AG14" s="27">
        <f>AG10-AG11-AG12-AG13</f>
        <v>912.4000000000015</v>
      </c>
    </row>
    <row r="15" spans="1:33" ht="15" customHeight="1">
      <c r="A15" s="4" t="s">
        <v>6</v>
      </c>
      <c r="B15" s="22">
        <f>52034.1-1051.6+141.1</f>
        <v>51123.6</v>
      </c>
      <c r="C15" s="22">
        <v>15199</v>
      </c>
      <c r="D15" s="44">
        <v>0.2</v>
      </c>
      <c r="E15" s="44">
        <v>1550.5</v>
      </c>
      <c r="F15" s="22">
        <v>93.8</v>
      </c>
      <c r="G15" s="22">
        <v>823.1</v>
      </c>
      <c r="H15" s="22">
        <v>119.1</v>
      </c>
      <c r="I15" s="22">
        <v>7741.1</v>
      </c>
      <c r="J15" s="26">
        <v>114.5</v>
      </c>
      <c r="K15" s="22">
        <v>190</v>
      </c>
      <c r="L15" s="22">
        <v>7727.7</v>
      </c>
      <c r="M15" s="22">
        <v>14528.5</v>
      </c>
      <c r="N15" s="22">
        <v>462.3</v>
      </c>
      <c r="O15" s="27">
        <v>362.2</v>
      </c>
      <c r="P15" s="22">
        <v>553.3</v>
      </c>
      <c r="Q15" s="27">
        <v>38.5</v>
      </c>
      <c r="R15" s="22">
        <v>481.1</v>
      </c>
      <c r="S15" s="26">
        <v>3.7</v>
      </c>
      <c r="T15" s="26">
        <v>13890.3</v>
      </c>
      <c r="U15" s="26">
        <v>5040.9</v>
      </c>
      <c r="V15" s="26">
        <v>4.9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53725.7</v>
      </c>
      <c r="AG15" s="27">
        <f aca="true" t="shared" si="3" ref="AG15:AG31">B15+C15-AF15</f>
        <v>12596.900000000009</v>
      </c>
    </row>
    <row r="16" spans="1:34" s="70" customFormat="1" ht="15" customHeight="1">
      <c r="A16" s="65" t="s">
        <v>46</v>
      </c>
      <c r="B16" s="66">
        <f>29394.4-211.3</f>
        <v>29183.100000000002</v>
      </c>
      <c r="C16" s="66">
        <v>1549.5</v>
      </c>
      <c r="D16" s="67">
        <v>0.2</v>
      </c>
      <c r="E16" s="67">
        <v>1354.2</v>
      </c>
      <c r="F16" s="66">
        <v>90.1</v>
      </c>
      <c r="G16" s="66"/>
      <c r="H16" s="66"/>
      <c r="I16" s="66">
        <v>7741.1</v>
      </c>
      <c r="J16" s="68"/>
      <c r="K16" s="66">
        <v>79.7</v>
      </c>
      <c r="L16" s="66">
        <v>0.5</v>
      </c>
      <c r="M16" s="66">
        <v>14284</v>
      </c>
      <c r="N16" s="66"/>
      <c r="O16" s="69"/>
      <c r="P16" s="66">
        <v>271.3</v>
      </c>
      <c r="Q16" s="69">
        <v>5.1</v>
      </c>
      <c r="R16" s="66">
        <v>51.3</v>
      </c>
      <c r="S16" s="68">
        <v>1.4</v>
      </c>
      <c r="T16" s="68">
        <v>117.4</v>
      </c>
      <c r="U16" s="68">
        <v>5004.6</v>
      </c>
      <c r="V16" s="68">
        <v>4.8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29005.7</v>
      </c>
      <c r="AG16" s="71">
        <f t="shared" si="3"/>
        <v>1726.9000000000015</v>
      </c>
      <c r="AH16" s="75"/>
    </row>
    <row r="17" spans="1:34" ht="15.75">
      <c r="A17" s="3" t="s">
        <v>5</v>
      </c>
      <c r="B17" s="22">
        <f>42649.7+4738.6</f>
        <v>47388.299999999996</v>
      </c>
      <c r="C17" s="22">
        <v>1297.5</v>
      </c>
      <c r="D17" s="22"/>
      <c r="E17" s="22">
        <v>1305.4</v>
      </c>
      <c r="F17" s="22"/>
      <c r="G17" s="22">
        <v>14.8</v>
      </c>
      <c r="H17" s="22"/>
      <c r="I17" s="22">
        <v>7741.1</v>
      </c>
      <c r="J17" s="26"/>
      <c r="K17" s="22"/>
      <c r="L17" s="22">
        <v>6989.1</v>
      </c>
      <c r="M17" s="22">
        <v>14284</v>
      </c>
      <c r="N17" s="22"/>
      <c r="O17" s="27"/>
      <c r="P17" s="22"/>
      <c r="Q17" s="27"/>
      <c r="R17" s="22"/>
      <c r="S17" s="26"/>
      <c r="T17" s="26">
        <v>12975.3</v>
      </c>
      <c r="U17" s="26">
        <v>5001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48310.7</v>
      </c>
      <c r="AG17" s="27">
        <f t="shared" si="3"/>
        <v>375.09999999999854</v>
      </c>
      <c r="AH17" s="6"/>
    </row>
    <row r="18" spans="1:33" ht="15.75">
      <c r="A18" s="3" t="s">
        <v>3</v>
      </c>
      <c r="B18" s="22">
        <v>5.8</v>
      </c>
      <c r="C18" s="22">
        <v>16.3</v>
      </c>
      <c r="D18" s="22"/>
      <c r="E18" s="22"/>
      <c r="F18" s="22">
        <v>0.6</v>
      </c>
      <c r="G18" s="22"/>
      <c r="H18" s="22"/>
      <c r="I18" s="22"/>
      <c r="J18" s="26"/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>
        <v>1.7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3.8</v>
      </c>
      <c r="AG18" s="27">
        <f t="shared" si="3"/>
        <v>18.3</v>
      </c>
    </row>
    <row r="19" spans="1:33" ht="15.75">
      <c r="A19" s="3" t="s">
        <v>1</v>
      </c>
      <c r="B19" s="22">
        <f>1382.4-1051.6+141.1</f>
        <v>471.9000000000002</v>
      </c>
      <c r="C19" s="22">
        <v>4110.9</v>
      </c>
      <c r="D19" s="22"/>
      <c r="E19" s="22">
        <v>33.2</v>
      </c>
      <c r="F19" s="22">
        <v>10.5</v>
      </c>
      <c r="G19" s="22">
        <v>429.9</v>
      </c>
      <c r="H19" s="22">
        <v>102.7</v>
      </c>
      <c r="I19" s="22"/>
      <c r="J19" s="26"/>
      <c r="K19" s="22">
        <v>103.9</v>
      </c>
      <c r="L19" s="22"/>
      <c r="M19" s="22">
        <v>244.5</v>
      </c>
      <c r="N19" s="22">
        <v>7.4</v>
      </c>
      <c r="O19" s="27">
        <v>115.2</v>
      </c>
      <c r="P19" s="22">
        <v>99.7</v>
      </c>
      <c r="Q19" s="27"/>
      <c r="R19" s="22">
        <v>133.5</v>
      </c>
      <c r="S19" s="26"/>
      <c r="T19" s="26">
        <v>60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1340.5</v>
      </c>
      <c r="AG19" s="27">
        <f t="shared" si="3"/>
        <v>3242.3</v>
      </c>
    </row>
    <row r="20" spans="1:33" ht="15.75">
      <c r="A20" s="3" t="s">
        <v>2</v>
      </c>
      <c r="B20" s="22">
        <f>4651.6-4441.1</f>
        <v>210.5</v>
      </c>
      <c r="C20" s="22">
        <v>6042.5</v>
      </c>
      <c r="D20" s="22"/>
      <c r="E20" s="22">
        <v>18.5</v>
      </c>
      <c r="F20" s="22">
        <v>39.4</v>
      </c>
      <c r="G20" s="22">
        <v>88.9</v>
      </c>
      <c r="H20" s="22"/>
      <c r="I20" s="22"/>
      <c r="J20" s="26"/>
      <c r="K20" s="22">
        <v>37.4</v>
      </c>
      <c r="L20" s="22">
        <v>86.7</v>
      </c>
      <c r="M20" s="22"/>
      <c r="N20" s="22">
        <v>103.9</v>
      </c>
      <c r="O20" s="27">
        <v>0.7</v>
      </c>
      <c r="P20" s="22">
        <v>146.1</v>
      </c>
      <c r="Q20" s="27">
        <v>22</v>
      </c>
      <c r="R20" s="22">
        <v>54.4</v>
      </c>
      <c r="S20" s="26"/>
      <c r="T20" s="26">
        <v>428.7</v>
      </c>
      <c r="U20" s="26"/>
      <c r="V20" s="26">
        <v>4.8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1031.5</v>
      </c>
      <c r="AG20" s="27">
        <f t="shared" si="3"/>
        <v>5221.5</v>
      </c>
    </row>
    <row r="21" spans="1:33" ht="15.75">
      <c r="A21" s="3" t="s">
        <v>17</v>
      </c>
      <c r="B21" s="22">
        <v>1107.4</v>
      </c>
      <c r="C21" s="22">
        <v>466.5</v>
      </c>
      <c r="D21" s="22"/>
      <c r="E21" s="22">
        <v>36.2</v>
      </c>
      <c r="F21" s="22"/>
      <c r="G21" s="22">
        <v>3.8</v>
      </c>
      <c r="H21" s="22">
        <v>12.7</v>
      </c>
      <c r="I21" s="22"/>
      <c r="J21" s="26">
        <v>114.5</v>
      </c>
      <c r="K21" s="22"/>
      <c r="L21" s="22">
        <v>331.8</v>
      </c>
      <c r="M21" s="22"/>
      <c r="N21" s="22">
        <v>187.3</v>
      </c>
      <c r="O21" s="27">
        <v>241.1</v>
      </c>
      <c r="P21" s="22"/>
      <c r="Q21" s="27"/>
      <c r="R21" s="22">
        <v>252</v>
      </c>
      <c r="S21" s="26"/>
      <c r="T21" s="26">
        <v>65.5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1244.9</v>
      </c>
      <c r="AG21" s="27">
        <f t="shared" si="3"/>
        <v>329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1939.7000000000025</v>
      </c>
      <c r="C23" s="22">
        <f t="shared" si="4"/>
        <v>3265.300000000001</v>
      </c>
      <c r="D23" s="22">
        <f t="shared" si="4"/>
        <v>0.2</v>
      </c>
      <c r="E23" s="22">
        <f t="shared" si="4"/>
        <v>157.19999999999993</v>
      </c>
      <c r="F23" s="22">
        <f t="shared" si="4"/>
        <v>43.300000000000004</v>
      </c>
      <c r="G23" s="22">
        <f t="shared" si="4"/>
        <v>285.7000000000001</v>
      </c>
      <c r="H23" s="22">
        <f t="shared" si="4"/>
        <v>3.699999999999992</v>
      </c>
      <c r="I23" s="22">
        <f t="shared" si="4"/>
        <v>0</v>
      </c>
      <c r="J23" s="22">
        <f t="shared" si="4"/>
        <v>0</v>
      </c>
      <c r="K23" s="22">
        <f t="shared" si="4"/>
        <v>48.699999999999996</v>
      </c>
      <c r="L23" s="22">
        <f t="shared" si="4"/>
        <v>320.0999999999994</v>
      </c>
      <c r="M23" s="22">
        <f t="shared" si="4"/>
        <v>0</v>
      </c>
      <c r="N23" s="22">
        <f t="shared" si="4"/>
        <v>163.7</v>
      </c>
      <c r="O23" s="22">
        <f t="shared" si="4"/>
        <v>5.200000000000017</v>
      </c>
      <c r="P23" s="22">
        <f t="shared" si="4"/>
        <v>306</v>
      </c>
      <c r="Q23" s="22">
        <f t="shared" si="4"/>
        <v>16.5</v>
      </c>
      <c r="R23" s="22">
        <f t="shared" si="4"/>
        <v>41.200000000000045</v>
      </c>
      <c r="S23" s="22">
        <f t="shared" si="4"/>
        <v>3.7</v>
      </c>
      <c r="T23" s="22">
        <f t="shared" si="4"/>
        <v>359.09999999999997</v>
      </c>
      <c r="U23" s="22">
        <f t="shared" si="4"/>
        <v>39.899999999999636</v>
      </c>
      <c r="V23" s="22">
        <f t="shared" si="4"/>
        <v>0.10000000000000053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1794.299999999999</v>
      </c>
      <c r="AG23" s="27">
        <f t="shared" si="3"/>
        <v>3410.7000000000044</v>
      </c>
    </row>
    <row r="24" spans="1:33" ht="15" customHeight="1">
      <c r="A24" s="4" t="s">
        <v>7</v>
      </c>
      <c r="B24" s="22">
        <f>23045+110+0.2</f>
        <v>23155.2</v>
      </c>
      <c r="C24" s="22">
        <v>6078.1</v>
      </c>
      <c r="D24" s="22"/>
      <c r="E24" s="22">
        <v>17</v>
      </c>
      <c r="F24" s="22"/>
      <c r="G24" s="22"/>
      <c r="H24" s="22"/>
      <c r="I24" s="22">
        <v>1119</v>
      </c>
      <c r="J24" s="26">
        <v>74</v>
      </c>
      <c r="K24" s="22"/>
      <c r="L24" s="22">
        <v>6482.1</v>
      </c>
      <c r="M24" s="22">
        <v>806.9</v>
      </c>
      <c r="N24" s="22"/>
      <c r="O24" s="27"/>
      <c r="P24" s="22"/>
      <c r="Q24" s="27">
        <v>928.2</v>
      </c>
      <c r="R24" s="27">
        <v>379.8</v>
      </c>
      <c r="S24" s="26">
        <v>9759</v>
      </c>
      <c r="T24" s="26">
        <v>2006.1</v>
      </c>
      <c r="U24" s="26">
        <v>100.2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21672.3</v>
      </c>
      <c r="AG24" s="27">
        <f t="shared" si="3"/>
        <v>7561.000000000004</v>
      </c>
    </row>
    <row r="25" spans="1:34" s="70" customFormat="1" ht="15" customHeight="1">
      <c r="A25" s="65" t="s">
        <v>47</v>
      </c>
      <c r="B25" s="66">
        <f>18682.7+25.3</f>
        <v>18708</v>
      </c>
      <c r="C25" s="66">
        <v>3278.4</v>
      </c>
      <c r="D25" s="66"/>
      <c r="E25" s="66">
        <v>17</v>
      </c>
      <c r="F25" s="66"/>
      <c r="G25" s="66"/>
      <c r="H25" s="66"/>
      <c r="I25" s="66">
        <v>974.7</v>
      </c>
      <c r="J25" s="68">
        <v>16.3</v>
      </c>
      <c r="K25" s="66"/>
      <c r="L25" s="66">
        <v>6468</v>
      </c>
      <c r="M25" s="66">
        <v>487.6</v>
      </c>
      <c r="N25" s="66"/>
      <c r="O25" s="69"/>
      <c r="P25" s="66"/>
      <c r="Q25" s="69">
        <v>730.6</v>
      </c>
      <c r="R25" s="69">
        <v>313.4</v>
      </c>
      <c r="S25" s="68">
        <v>5778</v>
      </c>
      <c r="T25" s="68">
        <v>1842.4</v>
      </c>
      <c r="U25" s="68">
        <v>100.2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16728.2</v>
      </c>
      <c r="AG25" s="71">
        <f t="shared" si="3"/>
        <v>5258.200000000001</v>
      </c>
      <c r="AH25" s="75"/>
    </row>
    <row r="26" spans="1:34" ht="15.75">
      <c r="A26" s="3" t="s">
        <v>5</v>
      </c>
      <c r="B26" s="22">
        <f>16455+924.8</f>
        <v>17379.8</v>
      </c>
      <c r="C26" s="22">
        <v>467.8</v>
      </c>
      <c r="D26" s="22"/>
      <c r="E26" s="22"/>
      <c r="F26" s="22"/>
      <c r="G26" s="22"/>
      <c r="H26" s="22"/>
      <c r="I26" s="22"/>
      <c r="J26" s="26"/>
      <c r="K26" s="22"/>
      <c r="L26" s="22">
        <v>6468</v>
      </c>
      <c r="M26" s="22"/>
      <c r="N26" s="22"/>
      <c r="O26" s="27"/>
      <c r="P26" s="22"/>
      <c r="Q26" s="27"/>
      <c r="R26" s="22"/>
      <c r="S26" s="26">
        <v>9728.3</v>
      </c>
      <c r="T26" s="26">
        <v>1605.6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17801.899999999998</v>
      </c>
      <c r="AG26" s="27">
        <f t="shared" si="3"/>
        <v>45.70000000000073</v>
      </c>
      <c r="AH26" s="6"/>
    </row>
    <row r="27" spans="1:33" ht="15.75">
      <c r="A27" s="3" t="s">
        <v>3</v>
      </c>
      <c r="B27" s="22">
        <f>1537.5+110-84</f>
        <v>1563.5</v>
      </c>
      <c r="C27" s="22">
        <v>2645.9</v>
      </c>
      <c r="D27" s="22"/>
      <c r="E27" s="22"/>
      <c r="F27" s="22"/>
      <c r="G27" s="22"/>
      <c r="H27" s="22"/>
      <c r="I27" s="22">
        <v>385.5</v>
      </c>
      <c r="J27" s="26">
        <v>30</v>
      </c>
      <c r="K27" s="22"/>
      <c r="L27" s="22"/>
      <c r="M27" s="22">
        <v>578.3</v>
      </c>
      <c r="N27" s="22"/>
      <c r="O27" s="27"/>
      <c r="P27" s="22"/>
      <c r="Q27" s="27">
        <v>388.2</v>
      </c>
      <c r="R27" s="22">
        <v>197.1</v>
      </c>
      <c r="S27" s="26">
        <v>2.6</v>
      </c>
      <c r="T27" s="26">
        <v>69.3</v>
      </c>
      <c r="U27" s="26">
        <v>4.6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1655.5999999999997</v>
      </c>
      <c r="AG27" s="27">
        <f t="shared" si="3"/>
        <v>2553.8</v>
      </c>
    </row>
    <row r="28" spans="1:33" ht="15.75">
      <c r="A28" s="3" t="s">
        <v>1</v>
      </c>
      <c r="B28" s="22">
        <v>336.5</v>
      </c>
      <c r="C28" s="22">
        <v>8.9</v>
      </c>
      <c r="D28" s="22"/>
      <c r="E28" s="22"/>
      <c r="F28" s="22"/>
      <c r="G28" s="22"/>
      <c r="H28" s="22"/>
      <c r="I28" s="22">
        <v>39.2</v>
      </c>
      <c r="J28" s="26"/>
      <c r="K28" s="22"/>
      <c r="L28" s="22"/>
      <c r="M28" s="22">
        <v>35.9</v>
      </c>
      <c r="N28" s="22"/>
      <c r="O28" s="27"/>
      <c r="P28" s="22"/>
      <c r="Q28" s="27">
        <v>64.9</v>
      </c>
      <c r="R28" s="22">
        <v>14.2</v>
      </c>
      <c r="S28" s="26">
        <v>28</v>
      </c>
      <c r="T28" s="26">
        <v>147.6</v>
      </c>
      <c r="U28" s="26">
        <v>14.5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344.29999999999995</v>
      </c>
      <c r="AG28" s="27">
        <f t="shared" si="3"/>
        <v>1.1000000000000227</v>
      </c>
    </row>
    <row r="29" spans="1:33" ht="15.75">
      <c r="A29" s="3" t="s">
        <v>2</v>
      </c>
      <c r="B29" s="22">
        <f>1313.9-955</f>
        <v>358.9000000000001</v>
      </c>
      <c r="C29" s="22">
        <v>2460.9</v>
      </c>
      <c r="D29" s="22"/>
      <c r="E29" s="22">
        <v>17</v>
      </c>
      <c r="F29" s="22"/>
      <c r="G29" s="22"/>
      <c r="H29" s="22"/>
      <c r="I29" s="22">
        <v>472.5</v>
      </c>
      <c r="J29" s="26">
        <v>16.3</v>
      </c>
      <c r="K29" s="22"/>
      <c r="L29" s="22"/>
      <c r="M29" s="22">
        <v>18.8</v>
      </c>
      <c r="N29" s="22"/>
      <c r="O29" s="27"/>
      <c r="P29" s="22"/>
      <c r="Q29" s="27">
        <v>256.5</v>
      </c>
      <c r="R29" s="22">
        <v>97.1</v>
      </c>
      <c r="S29" s="26"/>
      <c r="T29" s="26"/>
      <c r="U29" s="26">
        <v>20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898.2</v>
      </c>
      <c r="AG29" s="27">
        <f t="shared" si="3"/>
        <v>1921.6000000000001</v>
      </c>
    </row>
    <row r="30" spans="1:33" ht="15.75">
      <c r="A30" s="3" t="s">
        <v>17</v>
      </c>
      <c r="B30" s="22">
        <f>134.1+4.2</f>
        <v>138.29999999999998</v>
      </c>
      <c r="C30" s="22">
        <v>27.2</v>
      </c>
      <c r="D30" s="22"/>
      <c r="E30" s="22"/>
      <c r="F30" s="22"/>
      <c r="G30" s="22"/>
      <c r="H30" s="22"/>
      <c r="I30" s="22">
        <v>26.5</v>
      </c>
      <c r="J30" s="26"/>
      <c r="K30" s="22"/>
      <c r="L30" s="22"/>
      <c r="M30" s="22">
        <v>24.2</v>
      </c>
      <c r="N30" s="22"/>
      <c r="O30" s="27"/>
      <c r="P30" s="22"/>
      <c r="Q30" s="27">
        <v>67.9</v>
      </c>
      <c r="R30" s="22">
        <v>2.3</v>
      </c>
      <c r="S30" s="26"/>
      <c r="T30" s="26">
        <v>4</v>
      </c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124.9</v>
      </c>
      <c r="AG30" s="27">
        <f t="shared" si="3"/>
        <v>40.599999999999966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3378.200000000001</v>
      </c>
      <c r="C32" s="22">
        <f t="shared" si="5"/>
        <v>467.3999999999999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195.29999999999995</v>
      </c>
      <c r="J32" s="22">
        <f t="shared" si="5"/>
        <v>27.7</v>
      </c>
      <c r="K32" s="22">
        <f t="shared" si="5"/>
        <v>0</v>
      </c>
      <c r="L32" s="22">
        <f t="shared" si="5"/>
        <v>14.100000000000364</v>
      </c>
      <c r="M32" s="22">
        <f t="shared" si="5"/>
        <v>149.70000000000002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150.70000000000002</v>
      </c>
      <c r="R32" s="22">
        <f t="shared" si="5"/>
        <v>69.10000000000004</v>
      </c>
      <c r="S32" s="22">
        <f t="shared" si="5"/>
        <v>0.10000000000072617</v>
      </c>
      <c r="T32" s="22">
        <f t="shared" si="5"/>
        <v>179.6</v>
      </c>
      <c r="U32" s="22">
        <f t="shared" si="5"/>
        <v>61.10000000000001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847.4000000000011</v>
      </c>
      <c r="AG32" s="27">
        <f>AG24-AG26-AG27-AG28-AG29-AG30-AG31</f>
        <v>2998.200000000002</v>
      </c>
    </row>
    <row r="33" spans="1:33" ht="15" customHeight="1">
      <c r="A33" s="4" t="s">
        <v>8</v>
      </c>
      <c r="B33" s="22">
        <f>1986.4+115.2</f>
        <v>2101.6</v>
      </c>
      <c r="C33" s="22">
        <v>394.1</v>
      </c>
      <c r="D33" s="22"/>
      <c r="E33" s="22"/>
      <c r="F33" s="22"/>
      <c r="G33" s="22"/>
      <c r="H33" s="22"/>
      <c r="I33" s="22"/>
      <c r="J33" s="26"/>
      <c r="K33" s="22"/>
      <c r="L33" s="22">
        <v>6.7</v>
      </c>
      <c r="M33" s="22">
        <v>60.6</v>
      </c>
      <c r="N33" s="22">
        <v>0.7</v>
      </c>
      <c r="O33" s="27"/>
      <c r="P33" s="22"/>
      <c r="Q33" s="27">
        <v>0.5</v>
      </c>
      <c r="R33" s="22"/>
      <c r="S33" s="26"/>
      <c r="T33" s="26">
        <v>92.7</v>
      </c>
      <c r="U33" s="26">
        <v>2.8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164</v>
      </c>
      <c r="AG33" s="27">
        <f aca="true" t="shared" si="6" ref="AG33:AG38">B33+C33-AF33</f>
        <v>2331.7</v>
      </c>
    </row>
    <row r="34" spans="1:33" ht="15.75">
      <c r="A34" s="3" t="s">
        <v>5</v>
      </c>
      <c r="B34" s="22">
        <v>165.6</v>
      </c>
      <c r="C34" s="22">
        <v>23.5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60.6</v>
      </c>
      <c r="N34" s="22"/>
      <c r="O34" s="22"/>
      <c r="P34" s="22"/>
      <c r="Q34" s="27"/>
      <c r="R34" s="22"/>
      <c r="S34" s="26"/>
      <c r="T34" s="26">
        <v>92.7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153.3</v>
      </c>
      <c r="AG34" s="27">
        <f t="shared" si="6"/>
        <v>35.79999999999998</v>
      </c>
    </row>
    <row r="35" spans="1:33" ht="15.75">
      <c r="A35" s="3" t="s">
        <v>1</v>
      </c>
      <c r="B35" s="22">
        <v>165.9</v>
      </c>
      <c r="C35" s="22">
        <v>165.9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331.8</v>
      </c>
    </row>
    <row r="36" spans="1:33" ht="15.75">
      <c r="A36" s="3" t="s">
        <v>2</v>
      </c>
      <c r="B36" s="44">
        <v>4.8</v>
      </c>
      <c r="C36" s="22">
        <v>167.1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0.3</v>
      </c>
      <c r="O36" s="27"/>
      <c r="P36" s="22"/>
      <c r="Q36" s="27"/>
      <c r="R36" s="22"/>
      <c r="S36" s="26"/>
      <c r="T36" s="26"/>
      <c r="U36" s="22">
        <v>2.8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3.0999999999999996</v>
      </c>
      <c r="AG36" s="27">
        <f t="shared" si="6"/>
        <v>168.8</v>
      </c>
    </row>
    <row r="37" spans="1:33" ht="15.75">
      <c r="A37" s="3" t="s">
        <v>17</v>
      </c>
      <c r="B37" s="22">
        <f>1608.1+115.2</f>
        <v>1723.3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1723.3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42.000000000000085</v>
      </c>
      <c r="C39" s="22">
        <f t="shared" si="7"/>
        <v>37.60000000000002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6.7</v>
      </c>
      <c r="M39" s="22">
        <f t="shared" si="7"/>
        <v>0</v>
      </c>
      <c r="N39" s="22">
        <f t="shared" si="7"/>
        <v>0.39999999999999997</v>
      </c>
      <c r="O39" s="22">
        <f t="shared" si="7"/>
        <v>0</v>
      </c>
      <c r="P39" s="22">
        <f t="shared" si="7"/>
        <v>0</v>
      </c>
      <c r="Q39" s="22">
        <f t="shared" si="7"/>
        <v>0.5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7.6000000000000005</v>
      </c>
      <c r="AG39" s="27">
        <f>AG33-AG34-AG36-AG38-AG35-AG37</f>
        <v>71.99999999999955</v>
      </c>
    </row>
    <row r="40" spans="1:33" ht="15" customHeight="1">
      <c r="A40" s="4" t="s">
        <v>33</v>
      </c>
      <c r="B40" s="22">
        <v>633.4</v>
      </c>
      <c r="C40" s="22">
        <v>154.4</v>
      </c>
      <c r="D40" s="22"/>
      <c r="E40" s="22"/>
      <c r="F40" s="22"/>
      <c r="G40" s="22"/>
      <c r="H40" s="22">
        <v>9.3</v>
      </c>
      <c r="I40" s="22"/>
      <c r="J40" s="26"/>
      <c r="K40" s="22">
        <v>4.6</v>
      </c>
      <c r="L40" s="22">
        <v>275.3</v>
      </c>
      <c r="M40" s="22"/>
      <c r="N40" s="22"/>
      <c r="O40" s="27"/>
      <c r="P40" s="22"/>
      <c r="Q40" s="27"/>
      <c r="R40" s="27">
        <v>25.3</v>
      </c>
      <c r="S40" s="26"/>
      <c r="T40" s="26">
        <v>352.3</v>
      </c>
      <c r="U40" s="26">
        <v>6.4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673.1999999999999</v>
      </c>
      <c r="AG40" s="27">
        <f aca="true" t="shared" si="8" ref="AG40:AG45">B40+C40-AF40</f>
        <v>114.60000000000002</v>
      </c>
    </row>
    <row r="41" spans="1:34" ht="15.75">
      <c r="A41" s="3" t="s">
        <v>5</v>
      </c>
      <c r="B41" s="22">
        <v>591</v>
      </c>
      <c r="C41" s="22">
        <v>67.8</v>
      </c>
      <c r="D41" s="22"/>
      <c r="E41" s="22"/>
      <c r="F41" s="22"/>
      <c r="G41" s="22"/>
      <c r="H41" s="22"/>
      <c r="I41" s="22"/>
      <c r="J41" s="26"/>
      <c r="K41" s="22"/>
      <c r="L41" s="22">
        <v>269.8</v>
      </c>
      <c r="M41" s="22"/>
      <c r="N41" s="22"/>
      <c r="O41" s="27"/>
      <c r="P41" s="22"/>
      <c r="Q41" s="22"/>
      <c r="R41" s="22">
        <v>13.5</v>
      </c>
      <c r="S41" s="26"/>
      <c r="T41" s="26">
        <v>346.9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630.2</v>
      </c>
      <c r="AG41" s="27">
        <f t="shared" si="8"/>
        <v>28.59999999999991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2.5</v>
      </c>
      <c r="D43" s="22"/>
      <c r="E43" s="22"/>
      <c r="F43" s="22"/>
      <c r="G43" s="22"/>
      <c r="H43" s="22"/>
      <c r="I43" s="22"/>
      <c r="J43" s="26"/>
      <c r="K43" s="22">
        <v>4.6</v>
      </c>
      <c r="L43" s="22"/>
      <c r="M43" s="22"/>
      <c r="N43" s="22"/>
      <c r="O43" s="27"/>
      <c r="P43" s="22"/>
      <c r="Q43" s="22"/>
      <c r="R43" s="22">
        <v>1.6</v>
      </c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6.199999999999999</v>
      </c>
      <c r="AG43" s="27">
        <f t="shared" si="8"/>
        <v>3.3000000000000007</v>
      </c>
    </row>
    <row r="44" spans="1:33" ht="15.75">
      <c r="A44" s="3" t="s">
        <v>2</v>
      </c>
      <c r="B44" s="22">
        <v>4.8</v>
      </c>
      <c r="C44" s="22">
        <v>31</v>
      </c>
      <c r="D44" s="22"/>
      <c r="E44" s="22"/>
      <c r="F44" s="22"/>
      <c r="G44" s="22"/>
      <c r="H44" s="22">
        <v>0.6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4.8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30.599999999999977</v>
      </c>
      <c r="C46" s="22">
        <f t="shared" si="10"/>
        <v>53.10000000000001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8.700000000000001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5.5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6.000000000000001</v>
      </c>
      <c r="S46" s="22">
        <f t="shared" si="10"/>
        <v>0</v>
      </c>
      <c r="T46" s="22">
        <f t="shared" si="10"/>
        <v>5.400000000000034</v>
      </c>
      <c r="U46" s="22">
        <f t="shared" si="10"/>
        <v>6.4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32.000000000000036</v>
      </c>
      <c r="AG46" s="27">
        <f>AG40-AG41-AG42-AG43-AG44-AG45</f>
        <v>51.70000000000012</v>
      </c>
    </row>
    <row r="47" spans="1:33" ht="17.25" customHeight="1">
      <c r="A47" s="4" t="s">
        <v>15</v>
      </c>
      <c r="B47" s="36">
        <f>877.9-120.8</f>
        <v>757.1</v>
      </c>
      <c r="C47" s="22">
        <v>1003</v>
      </c>
      <c r="D47" s="22">
        <v>6.4</v>
      </c>
      <c r="E47" s="28">
        <v>35.4</v>
      </c>
      <c r="F47" s="28">
        <v>80</v>
      </c>
      <c r="G47" s="28"/>
      <c r="H47" s="28">
        <v>178.3</v>
      </c>
      <c r="I47" s="28">
        <v>58.6</v>
      </c>
      <c r="J47" s="29">
        <v>51.8</v>
      </c>
      <c r="K47" s="28"/>
      <c r="L47" s="28">
        <v>190.1</v>
      </c>
      <c r="M47" s="28">
        <v>5</v>
      </c>
      <c r="N47" s="28"/>
      <c r="O47" s="31">
        <v>10.1</v>
      </c>
      <c r="P47" s="28">
        <v>4.4</v>
      </c>
      <c r="Q47" s="28">
        <v>27.6</v>
      </c>
      <c r="R47" s="28"/>
      <c r="S47" s="29">
        <v>138.2</v>
      </c>
      <c r="T47" s="29">
        <v>84.6</v>
      </c>
      <c r="U47" s="28">
        <v>48.3</v>
      </c>
      <c r="V47" s="28">
        <v>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925.8000000000001</v>
      </c>
      <c r="AG47" s="27">
        <f>B47+C47-AF47</f>
        <v>834.2999999999998</v>
      </c>
    </row>
    <row r="48" spans="1:33" ht="15.75">
      <c r="A48" s="3" t="s">
        <v>5</v>
      </c>
      <c r="B48" s="22">
        <v>31.2</v>
      </c>
      <c r="C48" s="22">
        <v>45.7</v>
      </c>
      <c r="D48" s="22"/>
      <c r="E48" s="28"/>
      <c r="F48" s="28"/>
      <c r="G48" s="28"/>
      <c r="H48" s="28">
        <v>18.9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18.9</v>
      </c>
      <c r="AG48" s="27">
        <f>B48+C48-AF48</f>
        <v>58.00000000000001</v>
      </c>
    </row>
    <row r="49" spans="1:33" ht="15.75">
      <c r="A49" s="3" t="s">
        <v>17</v>
      </c>
      <c r="B49" s="22">
        <f>695.2-120.8-2.1</f>
        <v>572.3000000000001</v>
      </c>
      <c r="C49" s="22">
        <v>562.9</v>
      </c>
      <c r="D49" s="22"/>
      <c r="E49" s="22"/>
      <c r="F49" s="22">
        <v>79.7</v>
      </c>
      <c r="G49" s="22"/>
      <c r="H49" s="22">
        <v>149.6</v>
      </c>
      <c r="I49" s="22">
        <v>58</v>
      </c>
      <c r="J49" s="26">
        <v>51.2</v>
      </c>
      <c r="K49" s="22"/>
      <c r="L49" s="22">
        <v>190</v>
      </c>
      <c r="M49" s="22">
        <v>5</v>
      </c>
      <c r="N49" s="22"/>
      <c r="O49" s="27">
        <v>10</v>
      </c>
      <c r="P49" s="22"/>
      <c r="Q49" s="22">
        <v>27.6</v>
      </c>
      <c r="R49" s="22"/>
      <c r="S49" s="26">
        <v>137.4</v>
      </c>
      <c r="T49" s="26">
        <v>57.3</v>
      </c>
      <c r="U49" s="22">
        <v>28.2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794</v>
      </c>
      <c r="AG49" s="27">
        <f>B49+C49-AF49</f>
        <v>341.20000000000005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153.5999999999999</v>
      </c>
      <c r="C51" s="22">
        <f t="shared" si="11"/>
        <v>394.4</v>
      </c>
      <c r="D51" s="22">
        <f t="shared" si="11"/>
        <v>6.4</v>
      </c>
      <c r="E51" s="22">
        <f t="shared" si="11"/>
        <v>35.4</v>
      </c>
      <c r="F51" s="22">
        <f t="shared" si="11"/>
        <v>0.29999999999999716</v>
      </c>
      <c r="G51" s="22">
        <f t="shared" si="11"/>
        <v>0</v>
      </c>
      <c r="H51" s="22">
        <f t="shared" si="11"/>
        <v>9.800000000000011</v>
      </c>
      <c r="I51" s="22">
        <f t="shared" si="11"/>
        <v>0.6000000000000014</v>
      </c>
      <c r="J51" s="22">
        <f t="shared" si="11"/>
        <v>0.5999999999999943</v>
      </c>
      <c r="K51" s="22">
        <f t="shared" si="11"/>
        <v>0</v>
      </c>
      <c r="L51" s="22">
        <f t="shared" si="11"/>
        <v>0.09999999999999432</v>
      </c>
      <c r="M51" s="22">
        <f t="shared" si="11"/>
        <v>0</v>
      </c>
      <c r="N51" s="22">
        <f t="shared" si="11"/>
        <v>0</v>
      </c>
      <c r="O51" s="22">
        <f t="shared" si="11"/>
        <v>0.09999999999999964</v>
      </c>
      <c r="P51" s="22">
        <f t="shared" si="11"/>
        <v>4.4</v>
      </c>
      <c r="Q51" s="22">
        <f t="shared" si="11"/>
        <v>0</v>
      </c>
      <c r="R51" s="22">
        <f t="shared" si="11"/>
        <v>0</v>
      </c>
      <c r="S51" s="22">
        <f t="shared" si="11"/>
        <v>0.799999999999983</v>
      </c>
      <c r="T51" s="22">
        <f t="shared" si="11"/>
        <v>27.299999999999997</v>
      </c>
      <c r="U51" s="22">
        <f t="shared" si="11"/>
        <v>20.099999999999998</v>
      </c>
      <c r="V51" s="22">
        <f t="shared" si="11"/>
        <v>7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112.89999999999998</v>
      </c>
      <c r="AG51" s="27">
        <f>AG47-AG49-AG48</f>
        <v>435.0999999999998</v>
      </c>
    </row>
    <row r="52" spans="1:33" ht="15" customHeight="1">
      <c r="A52" s="4" t="s">
        <v>0</v>
      </c>
      <c r="B52" s="22">
        <v>4375.3</v>
      </c>
      <c r="C52" s="22">
        <v>9181.5</v>
      </c>
      <c r="D52" s="22">
        <v>474.9</v>
      </c>
      <c r="E52" s="22">
        <v>1704.1</v>
      </c>
      <c r="F52" s="22">
        <v>476.3</v>
      </c>
      <c r="G52" s="22">
        <v>96.2</v>
      </c>
      <c r="H52" s="22"/>
      <c r="I52" s="22">
        <v>437.3</v>
      </c>
      <c r="J52" s="26">
        <v>38.4</v>
      </c>
      <c r="K52" s="22"/>
      <c r="L52" s="22">
        <v>663</v>
      </c>
      <c r="M52" s="22">
        <v>74.5</v>
      </c>
      <c r="N52" s="22">
        <v>330.4</v>
      </c>
      <c r="O52" s="27">
        <f>382.7+99.8</f>
        <v>482.5</v>
      </c>
      <c r="P52" s="22">
        <v>93.4</v>
      </c>
      <c r="Q52" s="22"/>
      <c r="R52" s="22">
        <v>594.6</v>
      </c>
      <c r="S52" s="26">
        <v>2.5</v>
      </c>
      <c r="T52" s="26">
        <v>112.3</v>
      </c>
      <c r="U52" s="26">
        <v>1285.9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6866.300000000001</v>
      </c>
      <c r="AG52" s="27">
        <f aca="true" t="shared" si="12" ref="AG52:AG59">B52+C52-AF52</f>
        <v>6690.499999999998</v>
      </c>
    </row>
    <row r="53" spans="1:33" ht="15" customHeight="1">
      <c r="A53" s="3" t="s">
        <v>2</v>
      </c>
      <c r="B53" s="22">
        <v>429.6</v>
      </c>
      <c r="C53" s="22">
        <v>593.8</v>
      </c>
      <c r="D53" s="22">
        <v>64.8</v>
      </c>
      <c r="E53" s="22">
        <v>24.2</v>
      </c>
      <c r="F53" s="22"/>
      <c r="G53" s="22"/>
      <c r="H53" s="22"/>
      <c r="I53" s="22">
        <v>437.3</v>
      </c>
      <c r="J53" s="26"/>
      <c r="K53" s="22"/>
      <c r="L53" s="22">
        <v>329.2</v>
      </c>
      <c r="M53" s="22">
        <v>2.4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857.9</v>
      </c>
      <c r="AG53" s="27">
        <f t="shared" si="12"/>
        <v>165.5</v>
      </c>
    </row>
    <row r="54" spans="1:34" ht="15" customHeight="1">
      <c r="A54" s="4" t="s">
        <v>9</v>
      </c>
      <c r="B54" s="44">
        <f>8021.7-6.4-43.3</f>
        <v>7972</v>
      </c>
      <c r="C54" s="22">
        <v>1757.5</v>
      </c>
      <c r="D54" s="22">
        <v>12.1</v>
      </c>
      <c r="E54" s="22">
        <v>525</v>
      </c>
      <c r="F54" s="22">
        <v>37</v>
      </c>
      <c r="G54" s="22">
        <v>13.4</v>
      </c>
      <c r="H54" s="22"/>
      <c r="I54" s="22">
        <v>40.6</v>
      </c>
      <c r="J54" s="26">
        <v>24.8</v>
      </c>
      <c r="K54" s="22"/>
      <c r="L54" s="22">
        <v>3972.2</v>
      </c>
      <c r="M54" s="22">
        <v>0.4</v>
      </c>
      <c r="N54" s="22">
        <v>148.2</v>
      </c>
      <c r="O54" s="27">
        <v>0.1</v>
      </c>
      <c r="P54" s="22"/>
      <c r="Q54" s="27">
        <v>42.9</v>
      </c>
      <c r="R54" s="22">
        <v>0.5</v>
      </c>
      <c r="S54" s="26">
        <v>23.8</v>
      </c>
      <c r="T54" s="26">
        <v>2824.4</v>
      </c>
      <c r="U54" s="26">
        <v>23.3</v>
      </c>
      <c r="V54" s="26">
        <v>10.5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7699.2</v>
      </c>
      <c r="AG54" s="22">
        <f t="shared" si="12"/>
        <v>2030.3000000000002</v>
      </c>
      <c r="AH54" s="6"/>
    </row>
    <row r="55" spans="1:34" ht="15.75">
      <c r="A55" s="3" t="s">
        <v>5</v>
      </c>
      <c r="B55" s="22">
        <v>6739.9</v>
      </c>
      <c r="C55" s="22">
        <v>213.6</v>
      </c>
      <c r="D55" s="22"/>
      <c r="E55" s="22">
        <v>10</v>
      </c>
      <c r="F55" s="22"/>
      <c r="G55" s="22"/>
      <c r="H55" s="22"/>
      <c r="I55" s="22"/>
      <c r="J55" s="26"/>
      <c r="K55" s="22"/>
      <c r="L55" s="22">
        <v>3950.5</v>
      </c>
      <c r="M55" s="22"/>
      <c r="N55" s="22"/>
      <c r="O55" s="27"/>
      <c r="P55" s="22"/>
      <c r="Q55" s="27"/>
      <c r="R55" s="22"/>
      <c r="S55" s="26"/>
      <c r="T55" s="26">
        <v>2820.4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6780.9</v>
      </c>
      <c r="AG55" s="22">
        <f t="shared" si="12"/>
        <v>172.60000000000036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32.9</v>
      </c>
      <c r="C57" s="22">
        <v>605.8</v>
      </c>
      <c r="D57" s="22"/>
      <c r="E57" s="22">
        <v>18.1</v>
      </c>
      <c r="F57" s="22"/>
      <c r="G57" s="22">
        <v>0.3</v>
      </c>
      <c r="H57" s="22"/>
      <c r="I57" s="22">
        <v>0.3</v>
      </c>
      <c r="J57" s="26"/>
      <c r="K57" s="22"/>
      <c r="L57" s="22">
        <v>0.1</v>
      </c>
      <c r="M57" s="22"/>
      <c r="N57" s="22">
        <v>3</v>
      </c>
      <c r="O57" s="27"/>
      <c r="P57" s="22"/>
      <c r="Q57" s="27">
        <v>3.8</v>
      </c>
      <c r="R57" s="22">
        <v>0.3</v>
      </c>
      <c r="S57" s="26">
        <v>2</v>
      </c>
      <c r="T57" s="26">
        <v>1.3</v>
      </c>
      <c r="U57" s="26">
        <v>8.7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37.900000000000006</v>
      </c>
      <c r="AG57" s="22">
        <f t="shared" si="12"/>
        <v>600.8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1199.2000000000003</v>
      </c>
      <c r="C60" s="22">
        <f t="shared" si="13"/>
        <v>938.1000000000001</v>
      </c>
      <c r="D60" s="22">
        <f t="shared" si="13"/>
        <v>12.1</v>
      </c>
      <c r="E60" s="22">
        <f t="shared" si="13"/>
        <v>496.9</v>
      </c>
      <c r="F60" s="22">
        <f t="shared" si="13"/>
        <v>37</v>
      </c>
      <c r="G60" s="22">
        <f t="shared" si="13"/>
        <v>13.1</v>
      </c>
      <c r="H60" s="22">
        <f t="shared" si="13"/>
        <v>0</v>
      </c>
      <c r="I60" s="22">
        <f t="shared" si="13"/>
        <v>40.300000000000004</v>
      </c>
      <c r="J60" s="22">
        <f t="shared" si="13"/>
        <v>24.8</v>
      </c>
      <c r="K60" s="22">
        <f t="shared" si="13"/>
        <v>0</v>
      </c>
      <c r="L60" s="22">
        <f t="shared" si="13"/>
        <v>21.599999999999817</v>
      </c>
      <c r="M60" s="22">
        <f t="shared" si="13"/>
        <v>0.4</v>
      </c>
      <c r="N60" s="22">
        <f t="shared" si="13"/>
        <v>145.2</v>
      </c>
      <c r="O60" s="22">
        <f t="shared" si="13"/>
        <v>0.1</v>
      </c>
      <c r="P60" s="22">
        <f t="shared" si="13"/>
        <v>0</v>
      </c>
      <c r="Q60" s="22">
        <f t="shared" si="13"/>
        <v>39.1</v>
      </c>
      <c r="R60" s="22">
        <f t="shared" si="13"/>
        <v>0.2</v>
      </c>
      <c r="S60" s="22">
        <f t="shared" si="13"/>
        <v>21.8</v>
      </c>
      <c r="T60" s="22">
        <f t="shared" si="13"/>
        <v>2.7</v>
      </c>
      <c r="U60" s="22">
        <f t="shared" si="13"/>
        <v>14.600000000000001</v>
      </c>
      <c r="V60" s="22">
        <f t="shared" si="13"/>
        <v>10.5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880.4000000000002</v>
      </c>
      <c r="AG60" s="22">
        <f>AG54-AG55-AG57-AG59-AG56-AG58</f>
        <v>1256.8999999999999</v>
      </c>
    </row>
    <row r="61" spans="1:33" ht="15" customHeight="1">
      <c r="A61" s="4" t="s">
        <v>10</v>
      </c>
      <c r="B61" s="22">
        <f>70+3+6.4+57.3</f>
        <v>136.7</v>
      </c>
      <c r="C61" s="22">
        <v>63.5</v>
      </c>
      <c r="D61" s="22"/>
      <c r="E61" s="22">
        <v>2.3</v>
      </c>
      <c r="F61" s="22">
        <v>3</v>
      </c>
      <c r="G61" s="22">
        <v>1.5</v>
      </c>
      <c r="H61" s="22"/>
      <c r="I61" s="22">
        <v>17.9</v>
      </c>
      <c r="J61" s="26"/>
      <c r="K61" s="22"/>
      <c r="L61" s="22"/>
      <c r="M61" s="22"/>
      <c r="N61" s="22">
        <v>19.5</v>
      </c>
      <c r="O61" s="27"/>
      <c r="P61" s="22"/>
      <c r="Q61" s="27"/>
      <c r="R61" s="22"/>
      <c r="S61" s="26">
        <v>82.4</v>
      </c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126.60000000000001</v>
      </c>
      <c r="AG61" s="22">
        <f aca="true" t="shared" si="15" ref="AG61:AG67">B61+C61-AF61</f>
        <v>73.59999999999998</v>
      </c>
    </row>
    <row r="62" spans="1:33" ht="15" customHeight="1">
      <c r="A62" s="4" t="s">
        <v>11</v>
      </c>
      <c r="B62" s="22">
        <f>1783.7+740.6</f>
        <v>2524.3</v>
      </c>
      <c r="C62" s="22">
        <v>999.2</v>
      </c>
      <c r="D62" s="22"/>
      <c r="E62" s="22">
        <v>40</v>
      </c>
      <c r="F62" s="22"/>
      <c r="G62" s="22"/>
      <c r="H62" s="22"/>
      <c r="I62" s="22"/>
      <c r="J62" s="26">
        <v>122.9</v>
      </c>
      <c r="K62" s="22"/>
      <c r="L62" s="22">
        <v>42.7</v>
      </c>
      <c r="M62" s="22">
        <v>443</v>
      </c>
      <c r="N62" s="22">
        <v>56.4</v>
      </c>
      <c r="O62" s="27">
        <v>3.7</v>
      </c>
      <c r="P62" s="22"/>
      <c r="Q62" s="27">
        <v>3.4</v>
      </c>
      <c r="R62" s="22">
        <v>5.5</v>
      </c>
      <c r="S62" s="26"/>
      <c r="T62" s="26">
        <v>866.9</v>
      </c>
      <c r="U62" s="26">
        <v>90.5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1675</v>
      </c>
      <c r="AG62" s="22">
        <f t="shared" si="15"/>
        <v>1848.5</v>
      </c>
    </row>
    <row r="63" spans="1:34" ht="15.75">
      <c r="A63" s="3" t="s">
        <v>5</v>
      </c>
      <c r="B63" s="22">
        <v>1169.5</v>
      </c>
      <c r="C63" s="22">
        <v>372.8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412</v>
      </c>
      <c r="N63" s="22"/>
      <c r="O63" s="27"/>
      <c r="P63" s="22"/>
      <c r="Q63" s="27"/>
      <c r="R63" s="22"/>
      <c r="S63" s="26"/>
      <c r="T63" s="26">
        <v>820.4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1232.4</v>
      </c>
      <c r="AG63" s="22">
        <f t="shared" si="15"/>
        <v>309.89999999999986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26</v>
      </c>
      <c r="C65" s="22">
        <v>12.6</v>
      </c>
      <c r="D65" s="22"/>
      <c r="E65" s="22"/>
      <c r="F65" s="22"/>
      <c r="G65" s="22"/>
      <c r="H65" s="22"/>
      <c r="I65" s="22"/>
      <c r="J65" s="26">
        <v>17.9</v>
      </c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7.1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</v>
      </c>
      <c r="AG65" s="22">
        <f t="shared" si="15"/>
        <v>13.600000000000001</v>
      </c>
      <c r="AH65" s="6"/>
    </row>
    <row r="66" spans="1:33" ht="15.75">
      <c r="A66" s="3" t="s">
        <v>2</v>
      </c>
      <c r="B66" s="22">
        <v>19.2</v>
      </c>
      <c r="C66" s="22">
        <v>197.1</v>
      </c>
      <c r="D66" s="22"/>
      <c r="E66" s="22"/>
      <c r="F66" s="22"/>
      <c r="G66" s="22"/>
      <c r="H66" s="22"/>
      <c r="I66" s="22"/>
      <c r="J66" s="26">
        <v>2.4</v>
      </c>
      <c r="K66" s="22"/>
      <c r="L66" s="22"/>
      <c r="M66" s="22"/>
      <c r="N66" s="22">
        <v>1.8</v>
      </c>
      <c r="O66" s="27">
        <v>3.7</v>
      </c>
      <c r="P66" s="22"/>
      <c r="Q66" s="22">
        <v>1.3</v>
      </c>
      <c r="R66" s="22">
        <v>4.5</v>
      </c>
      <c r="S66" s="26"/>
      <c r="T66" s="26"/>
      <c r="U66" s="26">
        <v>2.3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</v>
      </c>
      <c r="AG66" s="22">
        <f t="shared" si="15"/>
        <v>200.29999999999998</v>
      </c>
    </row>
    <row r="67" spans="1:33" ht="15.75">
      <c r="A67" s="3" t="s">
        <v>17</v>
      </c>
      <c r="B67" s="22">
        <v>200</v>
      </c>
      <c r="C67" s="22">
        <v>0</v>
      </c>
      <c r="D67" s="22"/>
      <c r="E67" s="22">
        <v>40</v>
      </c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160</v>
      </c>
    </row>
    <row r="68" spans="1:33" ht="15.75">
      <c r="A68" s="3" t="s">
        <v>26</v>
      </c>
      <c r="B68" s="22">
        <f aca="true" t="shared" si="16" ref="B68:AD68">B62-B63-B66-B67-B65-B64</f>
        <v>1109.6000000000001</v>
      </c>
      <c r="C68" s="22">
        <f t="shared" si="16"/>
        <v>416.70000000000005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102.6</v>
      </c>
      <c r="K68" s="22">
        <f t="shared" si="16"/>
        <v>0</v>
      </c>
      <c r="L68" s="22">
        <f t="shared" si="16"/>
        <v>42.7</v>
      </c>
      <c r="M68" s="22">
        <f t="shared" si="16"/>
        <v>31</v>
      </c>
      <c r="N68" s="22">
        <f t="shared" si="16"/>
        <v>54.6</v>
      </c>
      <c r="O68" s="22">
        <f t="shared" si="16"/>
        <v>0</v>
      </c>
      <c r="P68" s="22">
        <f t="shared" si="16"/>
        <v>0</v>
      </c>
      <c r="Q68" s="22">
        <f t="shared" si="16"/>
        <v>2.0999999999999996</v>
      </c>
      <c r="R68" s="22">
        <f t="shared" si="16"/>
        <v>1</v>
      </c>
      <c r="S68" s="22">
        <f t="shared" si="16"/>
        <v>0</v>
      </c>
      <c r="T68" s="22">
        <f t="shared" si="16"/>
        <v>46.5</v>
      </c>
      <c r="U68" s="22">
        <f t="shared" si="16"/>
        <v>81.10000000000001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361.6</v>
      </c>
      <c r="AG68" s="22">
        <f>AG62-AG63-AG66-AG67-AG65-AG64</f>
        <v>1164.7000000000003</v>
      </c>
    </row>
    <row r="69" spans="1:33" ht="31.5">
      <c r="A69" s="4" t="s">
        <v>32</v>
      </c>
      <c r="B69" s="22">
        <v>1912.2</v>
      </c>
      <c r="C69" s="22">
        <v>1008.1</v>
      </c>
      <c r="D69" s="22"/>
      <c r="E69" s="22"/>
      <c r="F69" s="22"/>
      <c r="G69" s="22">
        <v>1146.6</v>
      </c>
      <c r="H69" s="22"/>
      <c r="I69" s="22">
        <v>5.2</v>
      </c>
      <c r="J69" s="26"/>
      <c r="K69" s="22"/>
      <c r="L69" s="22"/>
      <c r="M69" s="22"/>
      <c r="N69" s="22">
        <v>681</v>
      </c>
      <c r="O69" s="22">
        <v>29.9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1862.7</v>
      </c>
      <c r="AG69" s="30">
        <f aca="true" t="shared" si="17" ref="AG69:AG92">B69+C69-AF69</f>
        <v>1057.6000000000001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784.2+2.6-14+0.1</f>
        <v>772.9000000000001</v>
      </c>
      <c r="C72" s="22">
        <v>1974.2</v>
      </c>
      <c r="D72" s="22"/>
      <c r="E72" s="22">
        <v>52</v>
      </c>
      <c r="F72" s="22">
        <v>26.1</v>
      </c>
      <c r="G72" s="22">
        <v>14.1</v>
      </c>
      <c r="H72" s="22"/>
      <c r="I72" s="22">
        <v>37.2</v>
      </c>
      <c r="J72" s="26">
        <v>6.5</v>
      </c>
      <c r="K72" s="22"/>
      <c r="L72" s="22">
        <v>45.7</v>
      </c>
      <c r="M72" s="22">
        <v>78.3</v>
      </c>
      <c r="N72" s="22">
        <v>5</v>
      </c>
      <c r="O72" s="22">
        <v>0.5</v>
      </c>
      <c r="P72" s="22"/>
      <c r="Q72" s="27">
        <v>10</v>
      </c>
      <c r="R72" s="22">
        <v>2.6</v>
      </c>
      <c r="S72" s="26">
        <v>22.4</v>
      </c>
      <c r="T72" s="26">
        <v>21.2</v>
      </c>
      <c r="U72" s="26">
        <v>9.1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330.7</v>
      </c>
      <c r="AG72" s="30">
        <f t="shared" si="17"/>
        <v>2416.4000000000005</v>
      </c>
    </row>
    <row r="73" spans="1:33" ht="15" customHeight="1">
      <c r="A73" s="3" t="s">
        <v>5</v>
      </c>
      <c r="B73" s="22">
        <f>13.3+4.4</f>
        <v>17.700000000000003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17.7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341.6</v>
      </c>
      <c r="D74" s="22"/>
      <c r="E74" s="22">
        <v>24.8</v>
      </c>
      <c r="F74" s="22"/>
      <c r="G74" s="22"/>
      <c r="H74" s="22"/>
      <c r="I74" s="22">
        <v>33</v>
      </c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0.2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58</v>
      </c>
      <c r="AG74" s="30">
        <f t="shared" si="17"/>
        <v>334.5</v>
      </c>
    </row>
    <row r="75" spans="1:33" ht="15" customHeight="1">
      <c r="A75" s="3" t="s">
        <v>17</v>
      </c>
      <c r="B75" s="22">
        <f>77.2-14</f>
        <v>63.2</v>
      </c>
      <c r="C75" s="22">
        <v>297.7</v>
      </c>
      <c r="D75" s="22"/>
      <c r="E75" s="22"/>
      <c r="F75" s="22"/>
      <c r="G75" s="22"/>
      <c r="H75" s="22"/>
      <c r="I75" s="22"/>
      <c r="J75" s="26"/>
      <c r="K75" s="22"/>
      <c r="L75" s="22"/>
      <c r="M75" s="22">
        <v>70.7</v>
      </c>
      <c r="N75" s="22"/>
      <c r="O75" s="22"/>
      <c r="P75" s="22"/>
      <c r="Q75" s="27"/>
      <c r="R75" s="22"/>
      <c r="S75" s="26">
        <v>4.7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75.4</v>
      </c>
      <c r="AG75" s="30">
        <f t="shared" si="17"/>
        <v>285.5</v>
      </c>
    </row>
    <row r="76" spans="1:33" s="11" customFormat="1" ht="31.5">
      <c r="A76" s="12" t="s">
        <v>21</v>
      </c>
      <c r="B76" s="22">
        <v>210.8</v>
      </c>
      <c r="C76" s="22">
        <v>503.8</v>
      </c>
      <c r="D76" s="22"/>
      <c r="E76" s="28"/>
      <c r="F76" s="28"/>
      <c r="G76" s="28">
        <v>26.8</v>
      </c>
      <c r="H76" s="28"/>
      <c r="I76" s="28"/>
      <c r="J76" s="29">
        <v>46.9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38.1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111.80000000000001</v>
      </c>
      <c r="AG76" s="30">
        <f t="shared" si="17"/>
        <v>602.8</v>
      </c>
    </row>
    <row r="77" spans="1:33" s="11" customFormat="1" ht="15.75">
      <c r="A77" s="3" t="s">
        <v>5</v>
      </c>
      <c r="B77" s="22">
        <v>70.7</v>
      </c>
      <c r="C77" s="22">
        <v>0.3</v>
      </c>
      <c r="D77" s="22"/>
      <c r="E77" s="28"/>
      <c r="F77" s="28"/>
      <c r="G77" s="28">
        <v>8.9</v>
      </c>
      <c r="H77" s="28"/>
      <c r="I77" s="28"/>
      <c r="J77" s="29">
        <v>24.2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37.9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71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>
        <v>0.3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63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5516.1</v>
      </c>
      <c r="C89" s="22">
        <v>6384</v>
      </c>
      <c r="D89" s="22"/>
      <c r="E89" s="22">
        <v>189.7</v>
      </c>
      <c r="F89" s="22">
        <v>763.7</v>
      </c>
      <c r="G89" s="22">
        <v>106.1</v>
      </c>
      <c r="H89" s="22"/>
      <c r="I89" s="22">
        <v>275.6</v>
      </c>
      <c r="J89" s="22">
        <v>3020.5</v>
      </c>
      <c r="K89" s="22">
        <v>51.8</v>
      </c>
      <c r="L89" s="22"/>
      <c r="M89" s="22"/>
      <c r="N89" s="22">
        <v>369.9</v>
      </c>
      <c r="O89" s="22">
        <v>152.3</v>
      </c>
      <c r="P89" s="22"/>
      <c r="Q89" s="22"/>
      <c r="R89" s="22"/>
      <c r="S89" s="26"/>
      <c r="T89" s="26">
        <v>1900.1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6829.700000000001</v>
      </c>
      <c r="AG89" s="22">
        <f t="shared" si="17"/>
        <v>5070.4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32691.8+48.3+2258.2</f>
        <v>34998.299999999996</v>
      </c>
      <c r="C92" s="22">
        <v>8197.8</v>
      </c>
      <c r="D92" s="22">
        <v>5278.7</v>
      </c>
      <c r="E92" s="22">
        <v>2003.9</v>
      </c>
      <c r="F92" s="22">
        <v>49.6</v>
      </c>
      <c r="G92" s="22">
        <v>345.1</v>
      </c>
      <c r="H92" s="22">
        <v>3306.6</v>
      </c>
      <c r="I92" s="22">
        <v>4469.6</v>
      </c>
      <c r="J92" s="22"/>
      <c r="K92" s="22"/>
      <c r="L92" s="22"/>
      <c r="M92" s="22"/>
      <c r="N92" s="22"/>
      <c r="O92" s="22">
        <v>5409.1</v>
      </c>
      <c r="P92" s="22">
        <v>3675.7</v>
      </c>
      <c r="Q92" s="22">
        <v>2737.2</v>
      </c>
      <c r="R92" s="22">
        <v>2197.2</v>
      </c>
      <c r="S92" s="26"/>
      <c r="T92" s="26"/>
      <c r="U92" s="22">
        <v>4047.6</v>
      </c>
      <c r="V92" s="22">
        <v>9675.8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43196.100000000006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143611.1</v>
      </c>
      <c r="C94" s="42">
        <f t="shared" si="18"/>
        <v>56449.29999999999</v>
      </c>
      <c r="D94" s="42">
        <f t="shared" si="18"/>
        <v>5774</v>
      </c>
      <c r="E94" s="42">
        <f t="shared" si="18"/>
        <v>6298.1</v>
      </c>
      <c r="F94" s="42">
        <f t="shared" si="18"/>
        <v>1555</v>
      </c>
      <c r="G94" s="42">
        <f t="shared" si="18"/>
        <v>2755.2000000000003</v>
      </c>
      <c r="H94" s="42">
        <f t="shared" si="18"/>
        <v>3618.9</v>
      </c>
      <c r="I94" s="42">
        <f t="shared" si="18"/>
        <v>14239.100000000002</v>
      </c>
      <c r="J94" s="42">
        <f t="shared" si="18"/>
        <v>3510.2</v>
      </c>
      <c r="K94" s="42">
        <f t="shared" si="18"/>
        <v>1052.6</v>
      </c>
      <c r="L94" s="42">
        <f t="shared" si="18"/>
        <v>20600.100000000002</v>
      </c>
      <c r="M94" s="42">
        <f t="shared" si="18"/>
        <v>16534.8</v>
      </c>
      <c r="N94" s="42">
        <f t="shared" si="18"/>
        <v>2099.6</v>
      </c>
      <c r="O94" s="42">
        <f t="shared" si="18"/>
        <v>6461.6</v>
      </c>
      <c r="P94" s="42">
        <f t="shared" si="18"/>
        <v>4361.799999999999</v>
      </c>
      <c r="Q94" s="42">
        <f t="shared" si="18"/>
        <v>4702.2</v>
      </c>
      <c r="R94" s="42">
        <f t="shared" si="18"/>
        <v>3709.2999999999997</v>
      </c>
      <c r="S94" s="42">
        <f t="shared" si="18"/>
        <v>11291.599999999999</v>
      </c>
      <c r="T94" s="42">
        <f t="shared" si="18"/>
        <v>22515.100000000002</v>
      </c>
      <c r="U94" s="42">
        <f t="shared" si="18"/>
        <v>11603.8</v>
      </c>
      <c r="V94" s="42">
        <f t="shared" si="18"/>
        <v>10503.8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153186.8</v>
      </c>
      <c r="AG94" s="58">
        <f>AG10+AG15+AG24+AG33+AG47+AG52+AG54+AG61+AG62+AG69+AG71+AG72+AG76+AG81+AG82+AG83+AG88+AG89+AG90+AG91+AG70+AG40+AG92</f>
        <v>46873.60000000001</v>
      </c>
    </row>
    <row r="95" spans="1:33" ht="15.75">
      <c r="A95" s="3" t="s">
        <v>5</v>
      </c>
      <c r="B95" s="22">
        <f aca="true" t="shared" si="19" ref="B95:AD95">B11+B17+B26+B34+B55+B63+B73+B41+B77+B48</f>
        <v>77827.99999999999</v>
      </c>
      <c r="C95" s="22">
        <f t="shared" si="19"/>
        <v>4900.700000000001</v>
      </c>
      <c r="D95" s="22">
        <f t="shared" si="19"/>
        <v>0</v>
      </c>
      <c r="E95" s="22">
        <f t="shared" si="19"/>
        <v>1330.2</v>
      </c>
      <c r="F95" s="22">
        <f t="shared" si="19"/>
        <v>0</v>
      </c>
      <c r="G95" s="22">
        <f t="shared" si="19"/>
        <v>40.6</v>
      </c>
      <c r="H95" s="22">
        <f t="shared" si="19"/>
        <v>18.9</v>
      </c>
      <c r="I95" s="22">
        <f t="shared" si="19"/>
        <v>7746</v>
      </c>
      <c r="J95" s="22">
        <f t="shared" si="19"/>
        <v>25</v>
      </c>
      <c r="K95" s="22">
        <f t="shared" si="19"/>
        <v>0</v>
      </c>
      <c r="L95" s="22">
        <f t="shared" si="19"/>
        <v>18860.3</v>
      </c>
      <c r="M95" s="22">
        <f t="shared" si="19"/>
        <v>15242.9</v>
      </c>
      <c r="N95" s="22">
        <f t="shared" si="19"/>
        <v>13</v>
      </c>
      <c r="O95" s="22">
        <f t="shared" si="19"/>
        <v>0</v>
      </c>
      <c r="P95" s="22">
        <f t="shared" si="19"/>
        <v>15</v>
      </c>
      <c r="Q95" s="22">
        <f t="shared" si="19"/>
        <v>0</v>
      </c>
      <c r="R95" s="22">
        <f t="shared" si="19"/>
        <v>13.5</v>
      </c>
      <c r="S95" s="22">
        <f t="shared" si="19"/>
        <v>10996</v>
      </c>
      <c r="T95" s="22">
        <f t="shared" si="19"/>
        <v>19007.700000000004</v>
      </c>
      <c r="U95" s="22">
        <f t="shared" si="19"/>
        <v>5923.5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79232.6</v>
      </c>
      <c r="AG95" s="27">
        <f>B95+C95-AF95</f>
        <v>3496.0999999999767</v>
      </c>
    </row>
    <row r="96" spans="1:33" ht="15.75">
      <c r="A96" s="3" t="s">
        <v>2</v>
      </c>
      <c r="B96" s="22">
        <f aca="true" t="shared" si="20" ref="B96:AD96">B12+B20+B29+B36+B57+B66+B44+B80+B74+B53</f>
        <v>1187.9</v>
      </c>
      <c r="C96" s="22">
        <f t="shared" si="20"/>
        <v>10699</v>
      </c>
      <c r="D96" s="22">
        <f t="shared" si="20"/>
        <v>64.8</v>
      </c>
      <c r="E96" s="22">
        <f t="shared" si="20"/>
        <v>102.60000000000001</v>
      </c>
      <c r="F96" s="22">
        <f t="shared" si="20"/>
        <v>39.4</v>
      </c>
      <c r="G96" s="22">
        <f t="shared" si="20"/>
        <v>239.70000000000002</v>
      </c>
      <c r="H96" s="22">
        <f t="shared" si="20"/>
        <v>0.6</v>
      </c>
      <c r="I96" s="22">
        <f t="shared" si="20"/>
        <v>943.1</v>
      </c>
      <c r="J96" s="22">
        <f t="shared" si="20"/>
        <v>19.599999999999998</v>
      </c>
      <c r="K96" s="22">
        <f t="shared" si="20"/>
        <v>38</v>
      </c>
      <c r="L96" s="22">
        <f t="shared" si="20"/>
        <v>416</v>
      </c>
      <c r="M96" s="22">
        <f t="shared" si="20"/>
        <v>21.2</v>
      </c>
      <c r="N96" s="22">
        <f t="shared" si="20"/>
        <v>109</v>
      </c>
      <c r="O96" s="22">
        <f t="shared" si="20"/>
        <v>4.4</v>
      </c>
      <c r="P96" s="22">
        <f t="shared" si="20"/>
        <v>146.1</v>
      </c>
      <c r="Q96" s="22">
        <f t="shared" si="20"/>
        <v>283.6</v>
      </c>
      <c r="R96" s="22">
        <f t="shared" si="20"/>
        <v>160.5</v>
      </c>
      <c r="S96" s="22">
        <f t="shared" si="20"/>
        <v>2</v>
      </c>
      <c r="T96" s="22">
        <f t="shared" si="20"/>
        <v>432.4</v>
      </c>
      <c r="U96" s="22">
        <f t="shared" si="20"/>
        <v>34.4</v>
      </c>
      <c r="V96" s="22">
        <f t="shared" si="20"/>
        <v>4.8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3062.2000000000003</v>
      </c>
      <c r="AG96" s="27">
        <f>B96+C96-AF96</f>
        <v>8824.699999999999</v>
      </c>
    </row>
    <row r="97" spans="1:33" ht="15.75">
      <c r="A97" s="3" t="s">
        <v>3</v>
      </c>
      <c r="B97" s="22">
        <f aca="true" t="shared" si="21" ref="B97:AA97">B18+B27+B42+B64+B78</f>
        <v>1569.3</v>
      </c>
      <c r="C97" s="22">
        <f t="shared" si="21"/>
        <v>2742.2000000000003</v>
      </c>
      <c r="D97" s="22">
        <f t="shared" si="21"/>
        <v>0</v>
      </c>
      <c r="E97" s="22">
        <f t="shared" si="21"/>
        <v>0</v>
      </c>
      <c r="F97" s="22">
        <f t="shared" si="21"/>
        <v>0.6</v>
      </c>
      <c r="G97" s="22">
        <f t="shared" si="21"/>
        <v>0</v>
      </c>
      <c r="H97" s="22">
        <f t="shared" si="21"/>
        <v>0</v>
      </c>
      <c r="I97" s="22">
        <f t="shared" si="21"/>
        <v>385.5</v>
      </c>
      <c r="J97" s="22">
        <f t="shared" si="21"/>
        <v>30</v>
      </c>
      <c r="K97" s="22">
        <f t="shared" si="21"/>
        <v>0</v>
      </c>
      <c r="L97" s="22">
        <f t="shared" si="21"/>
        <v>0</v>
      </c>
      <c r="M97" s="22">
        <f t="shared" si="21"/>
        <v>578.3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388.2</v>
      </c>
      <c r="R97" s="22">
        <f t="shared" si="21"/>
        <v>197.1</v>
      </c>
      <c r="S97" s="22">
        <f t="shared" si="21"/>
        <v>2.6</v>
      </c>
      <c r="T97" s="22">
        <f t="shared" si="21"/>
        <v>71</v>
      </c>
      <c r="U97" s="22">
        <f t="shared" si="21"/>
        <v>4.6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1659.3999999999996</v>
      </c>
      <c r="AG97" s="27">
        <f>B97+C97-AF97</f>
        <v>2652.1000000000004</v>
      </c>
    </row>
    <row r="98" spans="1:33" ht="15.75">
      <c r="A98" s="3" t="s">
        <v>1</v>
      </c>
      <c r="B98" s="22">
        <f aca="true" t="shared" si="22" ref="B98:AD98">B19+B28+B65+B35+B43+B56+B79</f>
        <v>1007.3000000000002</v>
      </c>
      <c r="C98" s="22">
        <f t="shared" si="22"/>
        <v>4300.799999999999</v>
      </c>
      <c r="D98" s="22">
        <f t="shared" si="22"/>
        <v>0</v>
      </c>
      <c r="E98" s="22">
        <f t="shared" si="22"/>
        <v>33.2</v>
      </c>
      <c r="F98" s="22">
        <f t="shared" si="22"/>
        <v>10.5</v>
      </c>
      <c r="G98" s="22">
        <f t="shared" si="22"/>
        <v>429.9</v>
      </c>
      <c r="H98" s="22">
        <f t="shared" si="22"/>
        <v>102.7</v>
      </c>
      <c r="I98" s="22">
        <f t="shared" si="22"/>
        <v>39.2</v>
      </c>
      <c r="J98" s="22">
        <f t="shared" si="22"/>
        <v>17.9</v>
      </c>
      <c r="K98" s="22">
        <f t="shared" si="22"/>
        <v>108.5</v>
      </c>
      <c r="L98" s="22">
        <f t="shared" si="22"/>
        <v>0</v>
      </c>
      <c r="M98" s="22">
        <f t="shared" si="22"/>
        <v>280.4</v>
      </c>
      <c r="N98" s="22">
        <f t="shared" si="22"/>
        <v>7.4</v>
      </c>
      <c r="O98" s="22">
        <f t="shared" si="22"/>
        <v>115.2</v>
      </c>
      <c r="P98" s="22">
        <f t="shared" si="22"/>
        <v>99.7</v>
      </c>
      <c r="Q98" s="22">
        <f t="shared" si="22"/>
        <v>64.9</v>
      </c>
      <c r="R98" s="22">
        <f t="shared" si="22"/>
        <v>149.29999999999998</v>
      </c>
      <c r="S98" s="22">
        <f t="shared" si="22"/>
        <v>28</v>
      </c>
      <c r="T98" s="22">
        <f t="shared" si="22"/>
        <v>207.6</v>
      </c>
      <c r="U98" s="22">
        <f t="shared" si="22"/>
        <v>21.6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1716</v>
      </c>
      <c r="AG98" s="27">
        <f>B98+C98-AF98</f>
        <v>3592.0999999999995</v>
      </c>
    </row>
    <row r="99" spans="1:33" ht="15.75">
      <c r="A99" s="3" t="s">
        <v>17</v>
      </c>
      <c r="B99" s="22">
        <f>B21+B30+B49+B37+B58+B13+B75+B67</f>
        <v>3804.5</v>
      </c>
      <c r="C99" s="22">
        <f>C21+C30+C49+C37+C58+C13+C75+C67</f>
        <v>1354.3</v>
      </c>
      <c r="D99" s="22">
        <f>D21+D30+D49+D37+D58+D13+D75+D67</f>
        <v>0</v>
      </c>
      <c r="E99" s="22">
        <f aca="true" t="shared" si="23" ref="E99:X99">E21+E30+E49+E37+E58+E13+E75+E67</f>
        <v>76.2</v>
      </c>
      <c r="F99" s="22">
        <f t="shared" si="23"/>
        <v>79.7</v>
      </c>
      <c r="G99" s="22">
        <f t="shared" si="23"/>
        <v>3.8</v>
      </c>
      <c r="H99" s="22">
        <f t="shared" si="23"/>
        <v>162.29999999999998</v>
      </c>
      <c r="I99" s="22">
        <f t="shared" si="23"/>
        <v>84.5</v>
      </c>
      <c r="J99" s="22">
        <f t="shared" si="23"/>
        <v>165.7</v>
      </c>
      <c r="K99" s="22">
        <f t="shared" si="23"/>
        <v>0</v>
      </c>
      <c r="L99" s="22">
        <f t="shared" si="23"/>
        <v>521.8</v>
      </c>
      <c r="M99" s="22">
        <f t="shared" si="23"/>
        <v>99.9</v>
      </c>
      <c r="N99" s="22">
        <f t="shared" si="23"/>
        <v>187.3</v>
      </c>
      <c r="O99" s="22">
        <f t="shared" si="23"/>
        <v>251.1</v>
      </c>
      <c r="P99" s="22">
        <f t="shared" si="23"/>
        <v>0</v>
      </c>
      <c r="Q99" s="22">
        <f t="shared" si="23"/>
        <v>95.5</v>
      </c>
      <c r="R99" s="22">
        <f t="shared" si="23"/>
        <v>254.3</v>
      </c>
      <c r="S99" s="22">
        <f t="shared" si="23"/>
        <v>142.1</v>
      </c>
      <c r="T99" s="22">
        <f t="shared" si="23"/>
        <v>126.8</v>
      </c>
      <c r="U99" s="22">
        <f t="shared" si="23"/>
        <v>28.2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2279.2</v>
      </c>
      <c r="AG99" s="27">
        <f>B99+C99-AF99</f>
        <v>2879.6000000000004</v>
      </c>
    </row>
    <row r="100" spans="1:33" ht="12.75">
      <c r="A100" s="1" t="s">
        <v>41</v>
      </c>
      <c r="B100" s="2">
        <f aca="true" t="shared" si="25" ref="B100:AD100">B94-B95-B96-B97-B98-B99</f>
        <v>58214.10000000001</v>
      </c>
      <c r="C100" s="2">
        <f t="shared" si="25"/>
        <v>32452.299999999992</v>
      </c>
      <c r="D100" s="2">
        <f t="shared" si="25"/>
        <v>5709.2</v>
      </c>
      <c r="E100" s="2">
        <f t="shared" si="25"/>
        <v>4755.900000000001</v>
      </c>
      <c r="F100" s="2">
        <f t="shared" si="25"/>
        <v>1424.8</v>
      </c>
      <c r="G100" s="2">
        <f t="shared" si="25"/>
        <v>2041.2000000000005</v>
      </c>
      <c r="H100" s="2">
        <f t="shared" si="25"/>
        <v>3334.4</v>
      </c>
      <c r="I100" s="2">
        <f t="shared" si="25"/>
        <v>5040.800000000002</v>
      </c>
      <c r="J100" s="2">
        <f t="shared" si="25"/>
        <v>3252</v>
      </c>
      <c r="K100" s="2">
        <f t="shared" si="25"/>
        <v>906.0999999999999</v>
      </c>
      <c r="L100" s="2">
        <f t="shared" si="25"/>
        <v>802.000000000003</v>
      </c>
      <c r="M100" s="2">
        <f t="shared" si="25"/>
        <v>312.0999999999997</v>
      </c>
      <c r="N100" s="2">
        <f t="shared" si="25"/>
        <v>1782.8999999999999</v>
      </c>
      <c r="O100" s="2">
        <f t="shared" si="25"/>
        <v>6090.900000000001</v>
      </c>
      <c r="P100" s="2">
        <f t="shared" si="25"/>
        <v>4099.499999999999</v>
      </c>
      <c r="Q100" s="2">
        <f t="shared" si="25"/>
        <v>3869.9999999999995</v>
      </c>
      <c r="R100" s="2">
        <f t="shared" si="25"/>
        <v>2934.5999999999995</v>
      </c>
      <c r="S100" s="2">
        <f t="shared" si="25"/>
        <v>120.89999999999853</v>
      </c>
      <c r="T100" s="2">
        <f t="shared" si="25"/>
        <v>2669.5999999999976</v>
      </c>
      <c r="U100" s="2">
        <f t="shared" si="25"/>
        <v>5591.499999999999</v>
      </c>
      <c r="V100" s="2">
        <f t="shared" si="25"/>
        <v>10499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65237.399999999994</v>
      </c>
      <c r="AG100" s="2">
        <f>AG94-AG95-AG96-AG97-AG98-AG99</f>
        <v>25429.000000000044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02" sqref="AF10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65</v>
      </c>
      <c r="C4" s="9" t="s">
        <v>19</v>
      </c>
      <c r="D4" s="9">
        <v>1</v>
      </c>
      <c r="E4" s="8">
        <v>2</v>
      </c>
      <c r="F4" s="8">
        <v>4</v>
      </c>
      <c r="G4" s="8">
        <v>5</v>
      </c>
      <c r="H4" s="8">
        <v>6</v>
      </c>
      <c r="I4" s="8">
        <v>7</v>
      </c>
      <c r="J4" s="19">
        <v>8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18</v>
      </c>
      <c r="Q4" s="8">
        <v>19</v>
      </c>
      <c r="R4" s="8">
        <v>20</v>
      </c>
      <c r="S4" s="19">
        <v>21</v>
      </c>
      <c r="T4" s="19">
        <v>22</v>
      </c>
      <c r="U4" s="8">
        <v>25</v>
      </c>
      <c r="V4" s="8">
        <v>26</v>
      </c>
      <c r="W4" s="8">
        <v>27</v>
      </c>
      <c r="X4" s="19">
        <v>28</v>
      </c>
      <c r="Y4" s="19">
        <v>29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>
        <v>907</v>
      </c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6998.1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18332</v>
      </c>
      <c r="AF7" s="72"/>
      <c r="AG7" s="48"/>
    </row>
    <row r="8" spans="1:55" ht="18" customHeight="1">
      <c r="A8" s="60" t="s">
        <v>34</v>
      </c>
      <c r="B8" s="40">
        <f>SUM(D8:AB8)</f>
        <v>103463.1</v>
      </c>
      <c r="C8" s="40">
        <v>113789.5</v>
      </c>
      <c r="D8" s="43">
        <v>27978.6</v>
      </c>
      <c r="E8" s="55">
        <v>846.4</v>
      </c>
      <c r="F8" s="55">
        <v>506.7</v>
      </c>
      <c r="G8" s="55">
        <v>408.3</v>
      </c>
      <c r="H8" s="55">
        <v>188</v>
      </c>
      <c r="I8" s="55">
        <v>173.8</v>
      </c>
      <c r="J8" s="56">
        <v>5034.9</v>
      </c>
      <c r="K8" s="55">
        <v>2306.4</v>
      </c>
      <c r="L8" s="55">
        <v>1860.1</v>
      </c>
      <c r="M8" s="55">
        <v>1980.1</v>
      </c>
      <c r="N8" s="55">
        <v>2409.9</v>
      </c>
      <c r="O8" s="55">
        <v>4002.8</v>
      </c>
      <c r="P8" s="55">
        <v>6453.5</v>
      </c>
      <c r="Q8" s="55">
        <v>3029.3</v>
      </c>
      <c r="R8" s="55">
        <v>3834.1</v>
      </c>
      <c r="S8" s="57">
        <v>3996.6</v>
      </c>
      <c r="T8" s="57">
        <v>4818.2</v>
      </c>
      <c r="U8" s="55">
        <v>5578.6</v>
      </c>
      <c r="V8" s="55">
        <v>5119.4</v>
      </c>
      <c r="W8" s="55">
        <v>3764.3</v>
      </c>
      <c r="X8" s="56">
        <v>8357.1</v>
      </c>
      <c r="Y8" s="56">
        <v>10816</v>
      </c>
      <c r="Z8" s="56"/>
      <c r="AA8" s="56"/>
      <c r="AB8" s="55"/>
      <c r="AC8" s="23"/>
      <c r="AD8" s="23"/>
      <c r="AE8" s="61">
        <v>105350.8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151299.39999999997</v>
      </c>
      <c r="C9" s="24">
        <f t="shared" si="0"/>
        <v>46751.6</v>
      </c>
      <c r="D9" s="24">
        <f t="shared" si="0"/>
        <v>16009.4</v>
      </c>
      <c r="E9" s="24">
        <f t="shared" si="0"/>
        <v>13411.2</v>
      </c>
      <c r="F9" s="24">
        <f t="shared" si="0"/>
        <v>542.1</v>
      </c>
      <c r="G9" s="24">
        <f t="shared" si="0"/>
        <v>791.9999999999998</v>
      </c>
      <c r="H9" s="24">
        <f t="shared" si="0"/>
        <v>292.3</v>
      </c>
      <c r="I9" s="24">
        <f t="shared" si="0"/>
        <v>2718.5</v>
      </c>
      <c r="J9" s="24">
        <f t="shared" si="0"/>
        <v>4986.4</v>
      </c>
      <c r="K9" s="24">
        <f t="shared" si="0"/>
        <v>2439.9</v>
      </c>
      <c r="L9" s="24">
        <f t="shared" si="0"/>
        <v>7649.3</v>
      </c>
      <c r="M9" s="24">
        <f t="shared" si="0"/>
        <v>11385.799999999997</v>
      </c>
      <c r="N9" s="24">
        <f t="shared" si="0"/>
        <v>2414.2</v>
      </c>
      <c r="O9" s="24">
        <f t="shared" si="0"/>
        <v>4075.2</v>
      </c>
      <c r="P9" s="24">
        <f t="shared" si="0"/>
        <v>6454.5</v>
      </c>
      <c r="Q9" s="24">
        <f t="shared" si="0"/>
        <v>3250</v>
      </c>
      <c r="R9" s="24">
        <f t="shared" si="0"/>
        <v>3834.1000000000004</v>
      </c>
      <c r="S9" s="24">
        <f t="shared" si="0"/>
        <v>3996.6000000000004</v>
      </c>
      <c r="T9" s="24">
        <f t="shared" si="0"/>
        <v>5529.4</v>
      </c>
      <c r="U9" s="24">
        <f t="shared" si="0"/>
        <v>12287.5</v>
      </c>
      <c r="V9" s="24">
        <f t="shared" si="0"/>
        <v>6723.799999999999</v>
      </c>
      <c r="W9" s="24">
        <f>W10+W15+W24+W33+W47+W52+W54+W61+W62+W71+W72+W88+W76+W81+W83+W82+W69+W89+W90+W91+W70+W40+W92</f>
        <v>3830.3</v>
      </c>
      <c r="X9" s="24">
        <f t="shared" si="0"/>
        <v>8317.9</v>
      </c>
      <c r="Y9" s="24">
        <f t="shared" si="0"/>
        <v>10943.6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131884</v>
      </c>
      <c r="AG9" s="50">
        <f>AG10+AG15+AG24+AG33+AG47+AG52+AG54+AG61+AG62+AG71+AG72+AG76+AG88+AG81+AG83+AG82+AG69+AG89+AG91+AG90+AG70+AG40+AG92</f>
        <v>66167</v>
      </c>
      <c r="AH9" s="49"/>
      <c r="AI9" s="49"/>
    </row>
    <row r="10" spans="1:33" ht="15.75">
      <c r="A10" s="4" t="s">
        <v>4</v>
      </c>
      <c r="B10" s="22">
        <v>4751.1</v>
      </c>
      <c r="C10" s="22">
        <v>3561.3</v>
      </c>
      <c r="D10" s="22">
        <v>62.6</v>
      </c>
      <c r="E10" s="22">
        <v>74.1</v>
      </c>
      <c r="F10" s="22">
        <v>335.3</v>
      </c>
      <c r="G10" s="22">
        <v>57.9</v>
      </c>
      <c r="H10" s="22">
        <v>3.2</v>
      </c>
      <c r="I10" s="22">
        <v>16.1</v>
      </c>
      <c r="J10" s="25">
        <v>45.5</v>
      </c>
      <c r="K10" s="22">
        <v>127.9</v>
      </c>
      <c r="L10" s="22">
        <v>241.6</v>
      </c>
      <c r="M10" s="22">
        <v>813.9</v>
      </c>
      <c r="N10" s="22">
        <v>349.3</v>
      </c>
      <c r="O10" s="27">
        <v>10.7</v>
      </c>
      <c r="P10" s="22"/>
      <c r="Q10" s="22">
        <v>91.6</v>
      </c>
      <c r="R10" s="22">
        <v>15.8</v>
      </c>
      <c r="S10" s="26">
        <v>3.9</v>
      </c>
      <c r="T10" s="26">
        <v>28.2</v>
      </c>
      <c r="U10" s="26">
        <v>5.5</v>
      </c>
      <c r="V10" s="26">
        <v>480.3</v>
      </c>
      <c r="W10" s="26">
        <v>911.5</v>
      </c>
      <c r="X10" s="22">
        <v>1173.2</v>
      </c>
      <c r="Y10" s="27">
        <v>22.1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4870.200000000001</v>
      </c>
      <c r="AG10" s="27">
        <f>B10+C10-AF10</f>
        <v>3442.2000000000007</v>
      </c>
    </row>
    <row r="11" spans="1:33" ht="15.75">
      <c r="A11" s="3" t="s">
        <v>5</v>
      </c>
      <c r="B11" s="22">
        <v>4106.3</v>
      </c>
      <c r="C11" s="22">
        <v>2470.4</v>
      </c>
      <c r="D11" s="22">
        <v>62.6</v>
      </c>
      <c r="E11" s="22">
        <v>34.5</v>
      </c>
      <c r="F11" s="22">
        <v>228.2</v>
      </c>
      <c r="G11" s="22">
        <v>21.5</v>
      </c>
      <c r="H11" s="22">
        <v>3.2</v>
      </c>
      <c r="I11" s="22"/>
      <c r="J11" s="26">
        <v>28.5</v>
      </c>
      <c r="K11" s="22">
        <v>112.4</v>
      </c>
      <c r="L11" s="22">
        <v>240</v>
      </c>
      <c r="M11" s="22">
        <v>809.2</v>
      </c>
      <c r="N11" s="22">
        <v>334.5</v>
      </c>
      <c r="O11" s="27"/>
      <c r="P11" s="22"/>
      <c r="Q11" s="22"/>
      <c r="R11" s="22">
        <v>15.2</v>
      </c>
      <c r="S11" s="26"/>
      <c r="T11" s="26">
        <v>12</v>
      </c>
      <c r="U11" s="26"/>
      <c r="V11" s="26">
        <v>426.3</v>
      </c>
      <c r="W11" s="26">
        <v>876.6</v>
      </c>
      <c r="X11" s="22">
        <v>1161.7</v>
      </c>
      <c r="Y11" s="26"/>
      <c r="Z11" s="26"/>
      <c r="AA11" s="26"/>
      <c r="AB11" s="22"/>
      <c r="AC11" s="22"/>
      <c r="AD11" s="22"/>
      <c r="AE11" s="22"/>
      <c r="AF11" s="22">
        <f t="shared" si="1"/>
        <v>4366.4</v>
      </c>
      <c r="AG11" s="27">
        <f>B11+C11-AF11</f>
        <v>2210.300000000001</v>
      </c>
    </row>
    <row r="12" spans="1:33" ht="15.75">
      <c r="A12" s="3" t="s">
        <v>2</v>
      </c>
      <c r="B12" s="36">
        <v>76</v>
      </c>
      <c r="C12" s="22">
        <v>178.5</v>
      </c>
      <c r="D12" s="22"/>
      <c r="E12" s="22">
        <v>31.6</v>
      </c>
      <c r="F12" s="22"/>
      <c r="G12" s="22">
        <v>20.6</v>
      </c>
      <c r="H12" s="22"/>
      <c r="I12" s="22">
        <v>1</v>
      </c>
      <c r="J12" s="26"/>
      <c r="K12" s="22"/>
      <c r="L12" s="22"/>
      <c r="M12" s="22"/>
      <c r="N12" s="22"/>
      <c r="O12" s="27"/>
      <c r="P12" s="22"/>
      <c r="Q12" s="22">
        <v>0.3</v>
      </c>
      <c r="R12" s="22"/>
      <c r="S12" s="26">
        <v>3</v>
      </c>
      <c r="T12" s="26"/>
      <c r="U12" s="26"/>
      <c r="V12" s="26"/>
      <c r="W12" s="26">
        <v>17.7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74.2</v>
      </c>
      <c r="AG12" s="27">
        <f>B12+C12-AF12</f>
        <v>180.3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568.8000000000002</v>
      </c>
      <c r="C14" s="22">
        <f t="shared" si="2"/>
        <v>912.4000000000001</v>
      </c>
      <c r="D14" s="22">
        <f t="shared" si="2"/>
        <v>0</v>
      </c>
      <c r="E14" s="22">
        <f t="shared" si="2"/>
        <v>7.999999999999993</v>
      </c>
      <c r="F14" s="22">
        <f t="shared" si="2"/>
        <v>107.10000000000002</v>
      </c>
      <c r="G14" s="22">
        <f t="shared" si="2"/>
        <v>15.799999999999997</v>
      </c>
      <c r="H14" s="22">
        <f t="shared" si="2"/>
        <v>0</v>
      </c>
      <c r="I14" s="22">
        <f t="shared" si="2"/>
        <v>15.100000000000001</v>
      </c>
      <c r="J14" s="22">
        <f t="shared" si="2"/>
        <v>17</v>
      </c>
      <c r="K14" s="22">
        <f t="shared" si="2"/>
        <v>15.5</v>
      </c>
      <c r="L14" s="22">
        <f t="shared" si="2"/>
        <v>1.5999999999999943</v>
      </c>
      <c r="M14" s="22">
        <f t="shared" si="2"/>
        <v>4.699999999999932</v>
      </c>
      <c r="N14" s="22">
        <f t="shared" si="2"/>
        <v>14.800000000000011</v>
      </c>
      <c r="O14" s="22">
        <f t="shared" si="2"/>
        <v>10.7</v>
      </c>
      <c r="P14" s="22">
        <f t="shared" si="2"/>
        <v>0</v>
      </c>
      <c r="Q14" s="22">
        <f t="shared" si="2"/>
        <v>91.3</v>
      </c>
      <c r="R14" s="22">
        <f t="shared" si="2"/>
        <v>0.6000000000000014</v>
      </c>
      <c r="S14" s="22">
        <f t="shared" si="2"/>
        <v>0.8999999999999999</v>
      </c>
      <c r="T14" s="22">
        <f t="shared" si="2"/>
        <v>16.2</v>
      </c>
      <c r="U14" s="22">
        <f t="shared" si="2"/>
        <v>5.5</v>
      </c>
      <c r="V14" s="22">
        <f t="shared" si="2"/>
        <v>54</v>
      </c>
      <c r="W14" s="22">
        <f t="shared" si="2"/>
        <v>17.199999999999978</v>
      </c>
      <c r="X14" s="22">
        <f t="shared" si="2"/>
        <v>11.5</v>
      </c>
      <c r="Y14" s="22">
        <f t="shared" si="2"/>
        <v>22.1</v>
      </c>
      <c r="Z14" s="22"/>
      <c r="AA14" s="22"/>
      <c r="AB14" s="22"/>
      <c r="AC14" s="22"/>
      <c r="AD14" s="22"/>
      <c r="AE14" s="22"/>
      <c r="AF14" s="27">
        <f t="shared" si="1"/>
        <v>429.59999999999997</v>
      </c>
      <c r="AG14" s="27">
        <f>AG10-AG11-AG12-AG13</f>
        <v>1051.5999999999997</v>
      </c>
    </row>
    <row r="15" spans="1:33" ht="15" customHeight="1">
      <c r="A15" s="4" t="s">
        <v>6</v>
      </c>
      <c r="B15" s="22">
        <v>27292.9</v>
      </c>
      <c r="C15" s="22">
        <v>12596.9</v>
      </c>
      <c r="D15" s="44"/>
      <c r="E15" s="44">
        <v>1223.2</v>
      </c>
      <c r="F15" s="22">
        <v>110.3</v>
      </c>
      <c r="G15" s="22">
        <v>60.6</v>
      </c>
      <c r="H15" s="22"/>
      <c r="I15" s="22">
        <v>283.6</v>
      </c>
      <c r="J15" s="26">
        <v>0.7</v>
      </c>
      <c r="K15" s="22">
        <v>333.3</v>
      </c>
      <c r="L15" s="22">
        <v>1860.9</v>
      </c>
      <c r="M15" s="22">
        <v>4481.8</v>
      </c>
      <c r="N15" s="22">
        <v>357.9</v>
      </c>
      <c r="O15" s="27">
        <v>530.4</v>
      </c>
      <c r="P15" s="22"/>
      <c r="Q15" s="27">
        <v>9.1</v>
      </c>
      <c r="R15" s="22">
        <v>287.1</v>
      </c>
      <c r="S15" s="26">
        <v>12.3</v>
      </c>
      <c r="T15" s="26"/>
      <c r="U15" s="26">
        <v>824.9</v>
      </c>
      <c r="V15" s="26">
        <v>3788.7</v>
      </c>
      <c r="W15" s="26">
        <v>1076.6</v>
      </c>
      <c r="X15" s="22"/>
      <c r="Y15" s="26">
        <v>5.7</v>
      </c>
      <c r="Z15" s="26"/>
      <c r="AA15" s="26"/>
      <c r="AB15" s="22"/>
      <c r="AC15" s="22"/>
      <c r="AD15" s="22"/>
      <c r="AE15" s="22"/>
      <c r="AF15" s="27">
        <f t="shared" si="1"/>
        <v>15247.1</v>
      </c>
      <c r="AG15" s="27">
        <f aca="true" t="shared" si="3" ref="AG15:AG31">B15+C15-AF15</f>
        <v>24642.700000000004</v>
      </c>
    </row>
    <row r="16" spans="1:34" s="70" customFormat="1" ht="15" customHeight="1">
      <c r="A16" s="65" t="s">
        <v>46</v>
      </c>
      <c r="B16" s="66">
        <v>14490.1</v>
      </c>
      <c r="C16" s="66">
        <v>1726.9</v>
      </c>
      <c r="D16" s="67"/>
      <c r="E16" s="67">
        <v>29.1</v>
      </c>
      <c r="F16" s="66">
        <v>10</v>
      </c>
      <c r="G16" s="66"/>
      <c r="H16" s="66"/>
      <c r="I16" s="66"/>
      <c r="J16" s="68"/>
      <c r="K16" s="66">
        <v>85</v>
      </c>
      <c r="L16" s="66">
        <v>1344.7</v>
      </c>
      <c r="M16" s="66"/>
      <c r="N16" s="66">
        <v>5.3</v>
      </c>
      <c r="O16" s="69">
        <v>72.4</v>
      </c>
      <c r="P16" s="66"/>
      <c r="Q16" s="69">
        <v>8.4</v>
      </c>
      <c r="R16" s="66"/>
      <c r="S16" s="68"/>
      <c r="T16" s="68"/>
      <c r="U16" s="68">
        <v>114.2</v>
      </c>
      <c r="V16" s="68">
        <v>1598.2</v>
      </c>
      <c r="W16" s="68">
        <v>12.4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3279.7000000000003</v>
      </c>
      <c r="AG16" s="71">
        <f t="shared" si="3"/>
        <v>12937.3</v>
      </c>
      <c r="AH16" s="75"/>
    </row>
    <row r="17" spans="1:34" ht="15.75">
      <c r="A17" s="3" t="s">
        <v>5</v>
      </c>
      <c r="B17" s="22">
        <f>14266.5+17.8+3.9</f>
        <v>14288.199999999999</v>
      </c>
      <c r="C17" s="22">
        <v>375.1</v>
      </c>
      <c r="D17" s="22"/>
      <c r="E17" s="22">
        <v>978.2</v>
      </c>
      <c r="F17" s="22"/>
      <c r="G17" s="22">
        <v>60.6</v>
      </c>
      <c r="H17" s="22"/>
      <c r="I17" s="22"/>
      <c r="J17" s="26"/>
      <c r="K17" s="22"/>
      <c r="L17" s="22">
        <v>1860.9</v>
      </c>
      <c r="M17" s="22">
        <v>4481.8</v>
      </c>
      <c r="N17" s="22">
        <v>5.3</v>
      </c>
      <c r="O17" s="27"/>
      <c r="P17" s="22"/>
      <c r="Q17" s="27"/>
      <c r="R17" s="22"/>
      <c r="S17" s="26"/>
      <c r="T17" s="26"/>
      <c r="U17" s="26"/>
      <c r="V17" s="26">
        <v>3681.5</v>
      </c>
      <c r="W17" s="26">
        <v>988.5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12056.8</v>
      </c>
      <c r="AG17" s="27">
        <f t="shared" si="3"/>
        <v>2606.5</v>
      </c>
      <c r="AH17" s="6"/>
    </row>
    <row r="18" spans="1:33" ht="15.75">
      <c r="A18" s="3" t="s">
        <v>3</v>
      </c>
      <c r="B18" s="22">
        <v>0.3</v>
      </c>
      <c r="C18" s="22">
        <v>18.4</v>
      </c>
      <c r="D18" s="22"/>
      <c r="E18" s="22"/>
      <c r="F18" s="22"/>
      <c r="G18" s="22"/>
      <c r="H18" s="22"/>
      <c r="I18" s="22"/>
      <c r="J18" s="26"/>
      <c r="K18" s="22">
        <v>0.3</v>
      </c>
      <c r="L18" s="22"/>
      <c r="M18" s="22"/>
      <c r="N18" s="22"/>
      <c r="O18" s="27"/>
      <c r="P18" s="22"/>
      <c r="Q18" s="27"/>
      <c r="R18" s="22"/>
      <c r="S18" s="26"/>
      <c r="T18" s="26"/>
      <c r="U18" s="26">
        <v>0.5</v>
      </c>
      <c r="V18" s="26">
        <v>1.3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2.1</v>
      </c>
      <c r="AG18" s="27">
        <f t="shared" si="3"/>
        <v>16.599999999999998</v>
      </c>
    </row>
    <row r="19" spans="1:33" ht="15.75">
      <c r="A19" s="3" t="s">
        <v>1</v>
      </c>
      <c r="B19" s="22">
        <v>793.8</v>
      </c>
      <c r="C19" s="22">
        <v>3242.3</v>
      </c>
      <c r="D19" s="22"/>
      <c r="E19" s="22">
        <v>180.5</v>
      </c>
      <c r="F19" s="22">
        <v>41.7</v>
      </c>
      <c r="G19" s="22"/>
      <c r="H19" s="22"/>
      <c r="I19" s="22"/>
      <c r="J19" s="26"/>
      <c r="K19" s="22">
        <v>0.4</v>
      </c>
      <c r="L19" s="22"/>
      <c r="M19" s="22"/>
      <c r="N19" s="22">
        <v>24.4</v>
      </c>
      <c r="O19" s="27">
        <v>34.1</v>
      </c>
      <c r="P19" s="22"/>
      <c r="Q19" s="27"/>
      <c r="R19" s="22">
        <v>43.2</v>
      </c>
      <c r="S19" s="26"/>
      <c r="T19" s="26"/>
      <c r="U19" s="26">
        <v>30.5</v>
      </c>
      <c r="V19" s="26"/>
      <c r="W19" s="26">
        <v>44.6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399.40000000000003</v>
      </c>
      <c r="AG19" s="27">
        <f t="shared" si="3"/>
        <v>3636.7000000000003</v>
      </c>
    </row>
    <row r="20" spans="1:33" ht="15.75">
      <c r="A20" s="3" t="s">
        <v>2</v>
      </c>
      <c r="B20" s="22">
        <v>9727.4</v>
      </c>
      <c r="C20" s="22">
        <v>5221.5</v>
      </c>
      <c r="D20" s="22"/>
      <c r="E20" s="22">
        <v>64.5</v>
      </c>
      <c r="F20" s="22">
        <v>37.6</v>
      </c>
      <c r="G20" s="22"/>
      <c r="H20" s="22"/>
      <c r="I20" s="22">
        <v>17.1</v>
      </c>
      <c r="J20" s="26"/>
      <c r="K20" s="22">
        <v>170.4</v>
      </c>
      <c r="L20" s="22"/>
      <c r="M20" s="22"/>
      <c r="N20" s="22">
        <v>78.7</v>
      </c>
      <c r="O20" s="27">
        <v>36.7</v>
      </c>
      <c r="P20" s="22"/>
      <c r="Q20" s="27">
        <v>4.1</v>
      </c>
      <c r="R20" s="22">
        <v>11.1</v>
      </c>
      <c r="S20" s="26"/>
      <c r="T20" s="26"/>
      <c r="U20" s="26">
        <v>391</v>
      </c>
      <c r="V20" s="26">
        <v>31.5</v>
      </c>
      <c r="W20" s="26">
        <v>30.1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872.8000000000001</v>
      </c>
      <c r="AG20" s="27">
        <f t="shared" si="3"/>
        <v>14076.1</v>
      </c>
    </row>
    <row r="21" spans="1:33" ht="15.75">
      <c r="A21" s="3" t="s">
        <v>17</v>
      </c>
      <c r="B21" s="22">
        <v>1058.1</v>
      </c>
      <c r="C21" s="22">
        <v>329</v>
      </c>
      <c r="D21" s="22"/>
      <c r="E21" s="22"/>
      <c r="F21" s="22"/>
      <c r="G21" s="22"/>
      <c r="H21" s="22"/>
      <c r="I21" s="22">
        <v>9.1</v>
      </c>
      <c r="J21" s="26"/>
      <c r="K21" s="22"/>
      <c r="L21" s="22"/>
      <c r="M21" s="22"/>
      <c r="N21" s="22">
        <v>67.9</v>
      </c>
      <c r="O21" s="27">
        <v>257.1</v>
      </c>
      <c r="P21" s="22"/>
      <c r="Q21" s="27"/>
      <c r="R21" s="22">
        <v>135.7</v>
      </c>
      <c r="S21" s="26"/>
      <c r="T21" s="26"/>
      <c r="U21" s="22">
        <v>183.8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653.6</v>
      </c>
      <c r="AG21" s="27">
        <f t="shared" si="3"/>
        <v>733.4999999999999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1425.1000000000045</v>
      </c>
      <c r="C23" s="22">
        <f t="shared" si="4"/>
        <v>3410.5999999999985</v>
      </c>
      <c r="D23" s="22">
        <f t="shared" si="4"/>
        <v>0</v>
      </c>
      <c r="E23" s="22">
        <f t="shared" si="4"/>
        <v>0</v>
      </c>
      <c r="F23" s="22">
        <f t="shared" si="4"/>
        <v>30.999999999999993</v>
      </c>
      <c r="G23" s="22">
        <f t="shared" si="4"/>
        <v>0</v>
      </c>
      <c r="H23" s="22">
        <f t="shared" si="4"/>
        <v>0</v>
      </c>
      <c r="I23" s="22">
        <f t="shared" si="4"/>
        <v>257.4</v>
      </c>
      <c r="J23" s="22">
        <f t="shared" si="4"/>
        <v>0.7</v>
      </c>
      <c r="K23" s="22">
        <f t="shared" si="4"/>
        <v>162.20000000000002</v>
      </c>
      <c r="L23" s="22">
        <f t="shared" si="4"/>
        <v>0</v>
      </c>
      <c r="M23" s="22">
        <f t="shared" si="4"/>
        <v>0</v>
      </c>
      <c r="N23" s="22">
        <f t="shared" si="4"/>
        <v>181.6</v>
      </c>
      <c r="O23" s="22">
        <f t="shared" si="4"/>
        <v>202.49999999999994</v>
      </c>
      <c r="P23" s="22">
        <f t="shared" si="4"/>
        <v>0</v>
      </c>
      <c r="Q23" s="22">
        <f t="shared" si="4"/>
        <v>5</v>
      </c>
      <c r="R23" s="22">
        <f t="shared" si="4"/>
        <v>97.10000000000005</v>
      </c>
      <c r="S23" s="22">
        <f t="shared" si="4"/>
        <v>12.3</v>
      </c>
      <c r="T23" s="22">
        <f t="shared" si="4"/>
        <v>0</v>
      </c>
      <c r="U23" s="22">
        <f t="shared" si="4"/>
        <v>219.09999999999997</v>
      </c>
      <c r="V23" s="22">
        <f t="shared" si="4"/>
        <v>74.39999999999982</v>
      </c>
      <c r="W23" s="22">
        <f t="shared" si="4"/>
        <v>13.399999999999906</v>
      </c>
      <c r="X23" s="22">
        <f t="shared" si="4"/>
        <v>0</v>
      </c>
      <c r="Y23" s="22">
        <f t="shared" si="4"/>
        <v>5.7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1262.3999999999996</v>
      </c>
      <c r="AG23" s="27">
        <f t="shared" si="3"/>
        <v>3573.300000000003</v>
      </c>
    </row>
    <row r="24" spans="1:33" ht="15" customHeight="1">
      <c r="A24" s="4" t="s">
        <v>7</v>
      </c>
      <c r="B24" s="22">
        <v>22321.7</v>
      </c>
      <c r="C24" s="22">
        <v>7561</v>
      </c>
      <c r="D24" s="22">
        <v>2.3</v>
      </c>
      <c r="E24" s="22">
        <v>43.5</v>
      </c>
      <c r="F24" s="22"/>
      <c r="G24" s="22"/>
      <c r="H24" s="22"/>
      <c r="I24" s="22"/>
      <c r="J24" s="26"/>
      <c r="K24" s="22"/>
      <c r="L24" s="22">
        <v>4468.5</v>
      </c>
      <c r="M24" s="22">
        <v>5631.4</v>
      </c>
      <c r="N24" s="22"/>
      <c r="O24" s="27"/>
      <c r="P24" s="22"/>
      <c r="Q24" s="27">
        <v>279.6</v>
      </c>
      <c r="R24" s="27"/>
      <c r="S24" s="26"/>
      <c r="T24" s="26">
        <v>1167.1</v>
      </c>
      <c r="U24" s="26">
        <v>10779.2</v>
      </c>
      <c r="V24" s="26">
        <v>6.2</v>
      </c>
      <c r="W24" s="26">
        <v>53.7</v>
      </c>
      <c r="X24" s="22">
        <v>96</v>
      </c>
      <c r="Y24" s="26"/>
      <c r="Z24" s="26"/>
      <c r="AA24" s="26"/>
      <c r="AB24" s="22"/>
      <c r="AC24" s="22"/>
      <c r="AD24" s="22"/>
      <c r="AE24" s="22"/>
      <c r="AF24" s="27">
        <f t="shared" si="1"/>
        <v>22527.500000000004</v>
      </c>
      <c r="AG24" s="27">
        <f t="shared" si="3"/>
        <v>7355.199999999997</v>
      </c>
    </row>
    <row r="25" spans="1:34" s="70" customFormat="1" ht="15" customHeight="1">
      <c r="A25" s="65" t="s">
        <v>47</v>
      </c>
      <c r="B25" s="66">
        <v>15919</v>
      </c>
      <c r="C25" s="66">
        <v>5258.2</v>
      </c>
      <c r="D25" s="66"/>
      <c r="E25" s="66">
        <v>35.6</v>
      </c>
      <c r="F25" s="66"/>
      <c r="G25" s="66"/>
      <c r="H25" s="66"/>
      <c r="I25" s="66"/>
      <c r="J25" s="68"/>
      <c r="K25" s="66"/>
      <c r="L25" s="66">
        <v>4468.5</v>
      </c>
      <c r="M25" s="66">
        <v>3624.8</v>
      </c>
      <c r="N25" s="66"/>
      <c r="O25" s="69"/>
      <c r="P25" s="66"/>
      <c r="Q25" s="69">
        <v>212.2</v>
      </c>
      <c r="R25" s="69"/>
      <c r="S25" s="68"/>
      <c r="T25" s="68">
        <v>797.1</v>
      </c>
      <c r="U25" s="68">
        <v>6508.9</v>
      </c>
      <c r="V25" s="68">
        <v>6.2</v>
      </c>
      <c r="W25" s="68">
        <v>53.7</v>
      </c>
      <c r="X25" s="66">
        <v>88.5</v>
      </c>
      <c r="Y25" s="68"/>
      <c r="Z25" s="68"/>
      <c r="AA25" s="68"/>
      <c r="AB25" s="66"/>
      <c r="AC25" s="66"/>
      <c r="AD25" s="66"/>
      <c r="AE25" s="66"/>
      <c r="AF25" s="71">
        <f t="shared" si="1"/>
        <v>15795.500000000002</v>
      </c>
      <c r="AG25" s="71">
        <f t="shared" si="3"/>
        <v>5381.699999999999</v>
      </c>
      <c r="AH25" s="75"/>
    </row>
    <row r="26" spans="1:34" ht="15.75">
      <c r="A26" s="3" t="s">
        <v>5</v>
      </c>
      <c r="B26" s="22">
        <f>17079+407.8</f>
        <v>17486.8</v>
      </c>
      <c r="C26" s="22">
        <v>45.7</v>
      </c>
      <c r="D26" s="22"/>
      <c r="E26" s="22"/>
      <c r="F26" s="22"/>
      <c r="G26" s="22"/>
      <c r="H26" s="22"/>
      <c r="I26" s="22"/>
      <c r="J26" s="26"/>
      <c r="K26" s="22"/>
      <c r="L26" s="22">
        <v>3790.5</v>
      </c>
      <c r="M26" s="22">
        <v>3239.9</v>
      </c>
      <c r="N26" s="22"/>
      <c r="O26" s="27"/>
      <c r="P26" s="22"/>
      <c r="Q26" s="27"/>
      <c r="R26" s="22"/>
      <c r="S26" s="26"/>
      <c r="T26" s="26"/>
      <c r="U26" s="26">
        <v>10406.4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17436.8</v>
      </c>
      <c r="AG26" s="27">
        <f t="shared" si="3"/>
        <v>95.70000000000073</v>
      </c>
      <c r="AH26" s="6"/>
    </row>
    <row r="27" spans="1:33" ht="15.75">
      <c r="A27" s="3" t="s">
        <v>3</v>
      </c>
      <c r="B27" s="22">
        <f>1610.1+1135.3</f>
        <v>2745.3999999999996</v>
      </c>
      <c r="C27" s="22">
        <v>2553.8</v>
      </c>
      <c r="D27" s="22"/>
      <c r="E27" s="22">
        <v>1.6</v>
      </c>
      <c r="F27" s="22"/>
      <c r="G27" s="22"/>
      <c r="H27" s="22"/>
      <c r="I27" s="22"/>
      <c r="J27" s="26"/>
      <c r="K27" s="22"/>
      <c r="L27" s="22"/>
      <c r="M27" s="22">
        <v>2146</v>
      </c>
      <c r="N27" s="22"/>
      <c r="O27" s="27"/>
      <c r="P27" s="22"/>
      <c r="Q27" s="27">
        <v>165.2</v>
      </c>
      <c r="R27" s="22"/>
      <c r="S27" s="26"/>
      <c r="T27" s="26">
        <v>545.7</v>
      </c>
      <c r="U27" s="26">
        <v>294.3</v>
      </c>
      <c r="V27" s="26"/>
      <c r="W27" s="26">
        <v>32.8</v>
      </c>
      <c r="X27" s="22">
        <v>88.5</v>
      </c>
      <c r="Y27" s="26"/>
      <c r="Z27" s="26"/>
      <c r="AA27" s="26"/>
      <c r="AB27" s="22"/>
      <c r="AC27" s="22"/>
      <c r="AD27" s="22"/>
      <c r="AE27" s="22"/>
      <c r="AF27" s="27">
        <f t="shared" si="1"/>
        <v>3274.1000000000004</v>
      </c>
      <c r="AG27" s="27">
        <f t="shared" si="3"/>
        <v>2025.0999999999995</v>
      </c>
    </row>
    <row r="28" spans="1:33" ht="15.75">
      <c r="A28" s="3" t="s">
        <v>1</v>
      </c>
      <c r="B28" s="22">
        <v>336.6</v>
      </c>
      <c r="C28" s="22">
        <v>1.1</v>
      </c>
      <c r="D28" s="22"/>
      <c r="E28" s="22"/>
      <c r="F28" s="22"/>
      <c r="G28" s="22"/>
      <c r="H28" s="22"/>
      <c r="I28" s="22"/>
      <c r="J28" s="26"/>
      <c r="K28" s="22"/>
      <c r="L28" s="22">
        <v>67.9</v>
      </c>
      <c r="M28" s="22"/>
      <c r="N28" s="22"/>
      <c r="O28" s="27"/>
      <c r="P28" s="22"/>
      <c r="Q28" s="27">
        <v>38.7</v>
      </c>
      <c r="R28" s="22"/>
      <c r="S28" s="26"/>
      <c r="T28" s="26">
        <v>142.7</v>
      </c>
      <c r="U28" s="26">
        <v>29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278.3</v>
      </c>
      <c r="AG28" s="27">
        <f t="shared" si="3"/>
        <v>59.400000000000034</v>
      </c>
    </row>
    <row r="29" spans="1:33" ht="15.75">
      <c r="A29" s="3" t="s">
        <v>2</v>
      </c>
      <c r="B29" s="22">
        <f>1156-3.4-418.9</f>
        <v>733.6999999999999</v>
      </c>
      <c r="C29" s="22">
        <v>1921.6</v>
      </c>
      <c r="D29" s="22"/>
      <c r="E29" s="22">
        <v>6.8</v>
      </c>
      <c r="F29" s="22"/>
      <c r="G29" s="22"/>
      <c r="H29" s="22"/>
      <c r="I29" s="22"/>
      <c r="J29" s="26"/>
      <c r="K29" s="22"/>
      <c r="L29" s="22">
        <v>539.1</v>
      </c>
      <c r="M29" s="22"/>
      <c r="N29" s="22"/>
      <c r="O29" s="27"/>
      <c r="P29" s="22"/>
      <c r="Q29" s="27">
        <v>17</v>
      </c>
      <c r="R29" s="22"/>
      <c r="S29" s="26"/>
      <c r="T29" s="26">
        <v>343.6</v>
      </c>
      <c r="U29" s="26">
        <v>6.8</v>
      </c>
      <c r="V29" s="26">
        <v>6.2</v>
      </c>
      <c r="W29" s="26">
        <v>20.1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939.6</v>
      </c>
      <c r="AG29" s="27">
        <f t="shared" si="3"/>
        <v>1715.6999999999998</v>
      </c>
    </row>
    <row r="30" spans="1:33" ht="15.75">
      <c r="A30" s="3" t="s">
        <v>17</v>
      </c>
      <c r="B30" s="22">
        <f>137.3+3.3</f>
        <v>140.60000000000002</v>
      </c>
      <c r="C30" s="22">
        <v>40.6</v>
      </c>
      <c r="D30" s="22"/>
      <c r="E30" s="22"/>
      <c r="F30" s="22"/>
      <c r="G30" s="22"/>
      <c r="H30" s="22"/>
      <c r="I30" s="22"/>
      <c r="J30" s="26"/>
      <c r="K30" s="22"/>
      <c r="L30" s="22">
        <v>48.1</v>
      </c>
      <c r="M30" s="22"/>
      <c r="N30" s="22"/>
      <c r="O30" s="27"/>
      <c r="P30" s="22"/>
      <c r="Q30" s="27">
        <v>8.9</v>
      </c>
      <c r="R30" s="22"/>
      <c r="S30" s="26"/>
      <c r="T30" s="26">
        <v>75.1</v>
      </c>
      <c r="U30" s="26">
        <v>2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134.1</v>
      </c>
      <c r="AG30" s="27">
        <f t="shared" si="3"/>
        <v>47.10000000000002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878.600000000002</v>
      </c>
      <c r="C32" s="22">
        <f t="shared" si="5"/>
        <v>2998.2</v>
      </c>
      <c r="D32" s="22">
        <f t="shared" si="5"/>
        <v>2.3</v>
      </c>
      <c r="E32" s="22">
        <f t="shared" si="5"/>
        <v>35.1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22.9</v>
      </c>
      <c r="M32" s="22">
        <f t="shared" si="5"/>
        <v>245.49999999999955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49.80000000000003</v>
      </c>
      <c r="R32" s="22">
        <f t="shared" si="5"/>
        <v>0</v>
      </c>
      <c r="S32" s="22">
        <f t="shared" si="5"/>
        <v>0</v>
      </c>
      <c r="T32" s="22">
        <f t="shared" si="5"/>
        <v>59.99999999999986</v>
      </c>
      <c r="U32" s="22">
        <f t="shared" si="5"/>
        <v>40.70000000000108</v>
      </c>
      <c r="V32" s="22">
        <f t="shared" si="5"/>
        <v>0</v>
      </c>
      <c r="W32" s="22">
        <f t="shared" si="5"/>
        <v>0.8000000000000043</v>
      </c>
      <c r="X32" s="22">
        <f t="shared" si="5"/>
        <v>7.5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464.60000000000053</v>
      </c>
      <c r="AG32" s="27">
        <f>AG24-AG26-AG27-AG28-AG29-AG30-AG31</f>
        <v>3412.1999999999975</v>
      </c>
    </row>
    <row r="33" spans="1:33" ht="15" customHeight="1">
      <c r="A33" s="4" t="s">
        <v>8</v>
      </c>
      <c r="B33" s="22">
        <v>1771.2</v>
      </c>
      <c r="C33" s="22">
        <v>2331.7</v>
      </c>
      <c r="D33" s="22"/>
      <c r="E33" s="22"/>
      <c r="F33" s="22">
        <v>4</v>
      </c>
      <c r="G33" s="22"/>
      <c r="H33" s="22"/>
      <c r="I33" s="22">
        <v>111.8</v>
      </c>
      <c r="J33" s="26"/>
      <c r="K33" s="22"/>
      <c r="L33" s="22">
        <v>66.3</v>
      </c>
      <c r="M33" s="22">
        <v>34</v>
      </c>
      <c r="N33" s="22"/>
      <c r="O33" s="27">
        <v>5.8</v>
      </c>
      <c r="P33" s="22"/>
      <c r="Q33" s="27">
        <v>77.7</v>
      </c>
      <c r="R33" s="22"/>
      <c r="S33" s="26"/>
      <c r="T33" s="26"/>
      <c r="U33" s="26">
        <v>2.3</v>
      </c>
      <c r="V33" s="26">
        <v>68.7</v>
      </c>
      <c r="W33" s="26">
        <v>75.6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446.20000000000005</v>
      </c>
      <c r="AG33" s="27">
        <f aca="true" t="shared" si="6" ref="AG33:AG38">B33+C33-AF33</f>
        <v>3656.7</v>
      </c>
    </row>
    <row r="34" spans="1:33" ht="15.75">
      <c r="A34" s="3" t="s">
        <v>5</v>
      </c>
      <c r="B34" s="22">
        <v>152.2</v>
      </c>
      <c r="C34" s="22">
        <v>35.8</v>
      </c>
      <c r="D34" s="22"/>
      <c r="E34" s="22"/>
      <c r="F34" s="22"/>
      <c r="G34" s="22"/>
      <c r="H34" s="22"/>
      <c r="I34" s="22"/>
      <c r="J34" s="26"/>
      <c r="K34" s="22"/>
      <c r="L34" s="22">
        <v>66.3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68.7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135</v>
      </c>
      <c r="AG34" s="27">
        <f t="shared" si="6"/>
        <v>53</v>
      </c>
    </row>
    <row r="35" spans="1:33" ht="15.75">
      <c r="A35" s="3" t="s">
        <v>1</v>
      </c>
      <c r="B35" s="22">
        <v>0</v>
      </c>
      <c r="C35" s="22">
        <v>331.8</v>
      </c>
      <c r="D35" s="22"/>
      <c r="E35" s="22"/>
      <c r="F35" s="22"/>
      <c r="G35" s="22"/>
      <c r="H35" s="22"/>
      <c r="I35" s="22">
        <v>111.8</v>
      </c>
      <c r="J35" s="26"/>
      <c r="K35" s="22"/>
      <c r="L35" s="22"/>
      <c r="M35" s="22"/>
      <c r="N35" s="22"/>
      <c r="O35" s="22"/>
      <c r="P35" s="22"/>
      <c r="Q35" s="27">
        <v>77.7</v>
      </c>
      <c r="R35" s="22"/>
      <c r="S35" s="26"/>
      <c r="T35" s="26"/>
      <c r="U35" s="22"/>
      <c r="V35" s="22"/>
      <c r="W35" s="22">
        <v>75.6</v>
      </c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265.1</v>
      </c>
      <c r="AG35" s="27">
        <f t="shared" si="6"/>
        <v>66.69999999999999</v>
      </c>
    </row>
    <row r="36" spans="1:33" ht="15.75">
      <c r="A36" s="3" t="s">
        <v>2</v>
      </c>
      <c r="B36" s="44">
        <v>4.5</v>
      </c>
      <c r="C36" s="22">
        <v>168.8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0.3</v>
      </c>
      <c r="N36" s="22"/>
      <c r="O36" s="27">
        <v>0.1</v>
      </c>
      <c r="P36" s="22"/>
      <c r="Q36" s="27"/>
      <c r="R36" s="22"/>
      <c r="S36" s="26"/>
      <c r="T36" s="26"/>
      <c r="U36" s="22">
        <v>2.2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2.6</v>
      </c>
      <c r="AG36" s="27">
        <f t="shared" si="6"/>
        <v>170.70000000000002</v>
      </c>
    </row>
    <row r="37" spans="1:33" ht="15.75">
      <c r="A37" s="3" t="s">
        <v>17</v>
      </c>
      <c r="B37" s="22">
        <v>1608.1</v>
      </c>
      <c r="C37" s="22">
        <v>1723.3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3331.3999999999996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6.400000000000091</v>
      </c>
      <c r="C39" s="22">
        <f t="shared" si="7"/>
        <v>71.99999999999949</v>
      </c>
      <c r="D39" s="22">
        <f t="shared" si="7"/>
        <v>0</v>
      </c>
      <c r="E39" s="22">
        <f t="shared" si="7"/>
        <v>0</v>
      </c>
      <c r="F39" s="22">
        <f t="shared" si="7"/>
        <v>4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33.7</v>
      </c>
      <c r="N39" s="22">
        <f t="shared" si="7"/>
        <v>0</v>
      </c>
      <c r="O39" s="22">
        <f t="shared" si="7"/>
        <v>5.7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0.09999999999999964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43.50000000000001</v>
      </c>
      <c r="AG39" s="27">
        <f>AG33-AG34-AG36-AG38-AG35-AG37</f>
        <v>34.900000000000546</v>
      </c>
    </row>
    <row r="40" spans="1:33" ht="15" customHeight="1">
      <c r="A40" s="4" t="s">
        <v>33</v>
      </c>
      <c r="B40" s="22">
        <v>643.4</v>
      </c>
      <c r="C40" s="22">
        <v>114.6</v>
      </c>
      <c r="D40" s="22"/>
      <c r="E40" s="22"/>
      <c r="F40" s="22"/>
      <c r="G40" s="22">
        <v>14.8</v>
      </c>
      <c r="H40" s="22"/>
      <c r="I40" s="22">
        <v>50.6</v>
      </c>
      <c r="J40" s="26">
        <v>5.2</v>
      </c>
      <c r="K40" s="22"/>
      <c r="L40" s="22">
        <v>267.1</v>
      </c>
      <c r="M40" s="22"/>
      <c r="N40" s="22"/>
      <c r="O40" s="27"/>
      <c r="P40" s="22"/>
      <c r="Q40" s="27"/>
      <c r="R40" s="27">
        <v>7.9</v>
      </c>
      <c r="S40" s="26"/>
      <c r="T40" s="26"/>
      <c r="U40" s="26"/>
      <c r="V40" s="26">
        <v>293.7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639.3</v>
      </c>
      <c r="AG40" s="27">
        <f aca="true" t="shared" si="8" ref="AG40:AG45">B40+C40-AF40</f>
        <v>118.70000000000005</v>
      </c>
    </row>
    <row r="41" spans="1:34" ht="15.75">
      <c r="A41" s="3" t="s">
        <v>5</v>
      </c>
      <c r="B41" s="22">
        <v>601.7</v>
      </c>
      <c r="C41" s="22">
        <v>28.6</v>
      </c>
      <c r="D41" s="22"/>
      <c r="E41" s="22"/>
      <c r="F41" s="22"/>
      <c r="G41" s="22"/>
      <c r="H41" s="22"/>
      <c r="I41" s="22">
        <v>45.8</v>
      </c>
      <c r="J41" s="26"/>
      <c r="K41" s="22"/>
      <c r="L41" s="22">
        <v>263.2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291.7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600.7</v>
      </c>
      <c r="AG41" s="27">
        <f t="shared" si="8"/>
        <v>29.600000000000023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5</v>
      </c>
      <c r="C43" s="22">
        <v>3.3</v>
      </c>
      <c r="D43" s="22"/>
      <c r="E43" s="22"/>
      <c r="F43" s="22"/>
      <c r="G43" s="22">
        <v>2</v>
      </c>
      <c r="H43" s="22"/>
      <c r="I43" s="22">
        <v>4.6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1.700000000000001</v>
      </c>
    </row>
    <row r="44" spans="1:33" ht="15.75">
      <c r="A44" s="3" t="s">
        <v>2</v>
      </c>
      <c r="B44" s="22">
        <f>4+0.9</f>
        <v>4.9</v>
      </c>
      <c r="C44" s="22">
        <v>31</v>
      </c>
      <c r="D44" s="22"/>
      <c r="E44" s="22"/>
      <c r="F44" s="22"/>
      <c r="G44" s="22"/>
      <c r="H44" s="22"/>
      <c r="I44" s="22"/>
      <c r="J44" s="26">
        <v>0.5</v>
      </c>
      <c r="K44" s="22"/>
      <c r="L44" s="22"/>
      <c r="M44" s="22"/>
      <c r="N44" s="22"/>
      <c r="O44" s="27"/>
      <c r="P44" s="22"/>
      <c r="Q44" s="22"/>
      <c r="R44" s="22">
        <v>5.1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</v>
      </c>
      <c r="AG44" s="27">
        <f t="shared" si="8"/>
        <v>30.299999999999997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31.799999999999933</v>
      </c>
      <c r="C46" s="22">
        <f t="shared" si="10"/>
        <v>51.7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12.8</v>
      </c>
      <c r="H46" s="22">
        <f t="shared" si="10"/>
        <v>0</v>
      </c>
      <c r="I46" s="22">
        <f t="shared" si="10"/>
        <v>0.20000000000000462</v>
      </c>
      <c r="J46" s="22">
        <f t="shared" si="10"/>
        <v>4.7</v>
      </c>
      <c r="K46" s="22">
        <f t="shared" si="10"/>
        <v>0</v>
      </c>
      <c r="L46" s="22">
        <f t="shared" si="10"/>
        <v>3.900000000000034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2.8000000000000007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26.40000000000004</v>
      </c>
      <c r="AG46" s="27">
        <f>AG40-AG41-AG42-AG43-AG44-AG45</f>
        <v>57.10000000000002</v>
      </c>
    </row>
    <row r="47" spans="1:33" ht="17.25" customHeight="1">
      <c r="A47" s="4" t="s">
        <v>15</v>
      </c>
      <c r="B47" s="36">
        <v>777.4</v>
      </c>
      <c r="C47" s="22">
        <v>834.3</v>
      </c>
      <c r="D47" s="22"/>
      <c r="E47" s="28">
        <v>80</v>
      </c>
      <c r="F47" s="28"/>
      <c r="G47" s="28">
        <v>25.2</v>
      </c>
      <c r="H47" s="28">
        <v>24.2</v>
      </c>
      <c r="I47" s="28"/>
      <c r="J47" s="29">
        <v>134.7</v>
      </c>
      <c r="K47" s="28">
        <v>26.1</v>
      </c>
      <c r="L47" s="28"/>
      <c r="M47" s="28">
        <v>4</v>
      </c>
      <c r="N47" s="28">
        <v>0.6</v>
      </c>
      <c r="O47" s="31">
        <v>36.8</v>
      </c>
      <c r="P47" s="28">
        <v>2.2</v>
      </c>
      <c r="Q47" s="28">
        <v>18.6</v>
      </c>
      <c r="R47" s="28"/>
      <c r="S47" s="29">
        <v>12.6</v>
      </c>
      <c r="T47" s="29">
        <v>42.1</v>
      </c>
      <c r="U47" s="28">
        <v>2</v>
      </c>
      <c r="V47" s="28">
        <v>65.9</v>
      </c>
      <c r="W47" s="28">
        <v>54.9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529.9000000000001</v>
      </c>
      <c r="AG47" s="27">
        <f>B47+C47-AF47</f>
        <v>1081.7999999999997</v>
      </c>
    </row>
    <row r="48" spans="1:33" ht="15.75">
      <c r="A48" s="3" t="s">
        <v>5</v>
      </c>
      <c r="B48" s="22">
        <v>0</v>
      </c>
      <c r="C48" s="22">
        <v>58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>
        <v>18.6</v>
      </c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18.6</v>
      </c>
      <c r="AG48" s="27">
        <f>B48+C48-AF48</f>
        <v>39.4</v>
      </c>
    </row>
    <row r="49" spans="1:33" ht="15.75">
      <c r="A49" s="3" t="s">
        <v>17</v>
      </c>
      <c r="B49" s="22">
        <v>621.3</v>
      </c>
      <c r="C49" s="22">
        <v>341.2</v>
      </c>
      <c r="D49" s="22"/>
      <c r="E49" s="22">
        <v>71.7</v>
      </c>
      <c r="F49" s="22"/>
      <c r="G49" s="22"/>
      <c r="H49" s="22">
        <v>17.8</v>
      </c>
      <c r="I49" s="22"/>
      <c r="J49" s="26">
        <v>134.5</v>
      </c>
      <c r="K49" s="22">
        <v>24.2</v>
      </c>
      <c r="L49" s="22"/>
      <c r="M49" s="22">
        <v>4</v>
      </c>
      <c r="N49" s="22"/>
      <c r="O49" s="27">
        <v>36.4</v>
      </c>
      <c r="P49" s="22"/>
      <c r="Q49" s="22"/>
      <c r="R49" s="22"/>
      <c r="S49" s="26">
        <v>12.5</v>
      </c>
      <c r="T49" s="26">
        <v>21</v>
      </c>
      <c r="U49" s="22">
        <v>2</v>
      </c>
      <c r="V49" s="22">
        <v>45.1</v>
      </c>
      <c r="W49" s="22">
        <v>54.9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424.09999999999997</v>
      </c>
      <c r="AG49" s="27">
        <f>B49+C49-AF49</f>
        <v>538.4000000000001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156.10000000000002</v>
      </c>
      <c r="C51" s="22">
        <f t="shared" si="11"/>
        <v>435.09999999999997</v>
      </c>
      <c r="D51" s="22">
        <f t="shared" si="11"/>
        <v>0</v>
      </c>
      <c r="E51" s="22">
        <f t="shared" si="11"/>
        <v>8.299999999999997</v>
      </c>
      <c r="F51" s="22">
        <f t="shared" si="11"/>
        <v>0</v>
      </c>
      <c r="G51" s="22">
        <f t="shared" si="11"/>
        <v>25.2</v>
      </c>
      <c r="H51" s="22">
        <f t="shared" si="11"/>
        <v>6.399999999999999</v>
      </c>
      <c r="I51" s="22">
        <f t="shared" si="11"/>
        <v>0</v>
      </c>
      <c r="J51" s="22">
        <f t="shared" si="11"/>
        <v>0.19999999999998863</v>
      </c>
      <c r="K51" s="22">
        <f t="shared" si="11"/>
        <v>1.9000000000000021</v>
      </c>
      <c r="L51" s="22">
        <f t="shared" si="11"/>
        <v>0</v>
      </c>
      <c r="M51" s="22">
        <f t="shared" si="11"/>
        <v>0</v>
      </c>
      <c r="N51" s="22">
        <f t="shared" si="11"/>
        <v>0.6</v>
      </c>
      <c r="O51" s="22">
        <f t="shared" si="11"/>
        <v>0.3999999999999986</v>
      </c>
      <c r="P51" s="22">
        <f t="shared" si="11"/>
        <v>2.2</v>
      </c>
      <c r="Q51" s="22">
        <f t="shared" si="11"/>
        <v>0</v>
      </c>
      <c r="R51" s="22">
        <f t="shared" si="11"/>
        <v>0</v>
      </c>
      <c r="S51" s="22">
        <f t="shared" si="11"/>
        <v>0.09999999999999964</v>
      </c>
      <c r="T51" s="22">
        <f t="shared" si="11"/>
        <v>21.1</v>
      </c>
      <c r="U51" s="22">
        <f t="shared" si="11"/>
        <v>0</v>
      </c>
      <c r="V51" s="22">
        <f t="shared" si="11"/>
        <v>20.800000000000004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87.19999999999999</v>
      </c>
      <c r="AG51" s="27">
        <f>AG47-AG49-AG48</f>
        <v>503.99999999999966</v>
      </c>
    </row>
    <row r="52" spans="1:33" ht="15" customHeight="1">
      <c r="A52" s="4" t="s">
        <v>0</v>
      </c>
      <c r="B52" s="22">
        <f>4352+321.8</f>
        <v>4673.8</v>
      </c>
      <c r="C52" s="22">
        <v>6690.5</v>
      </c>
      <c r="D52" s="22"/>
      <c r="E52" s="22">
        <v>1867.5</v>
      </c>
      <c r="F52" s="22"/>
      <c r="G52" s="22">
        <v>413.3</v>
      </c>
      <c r="H52" s="22"/>
      <c r="I52" s="22">
        <v>956.5</v>
      </c>
      <c r="J52" s="26">
        <v>69.1</v>
      </c>
      <c r="K52" s="22">
        <v>5.5</v>
      </c>
      <c r="L52" s="22">
        <v>134.6</v>
      </c>
      <c r="M52" s="22">
        <v>324.3</v>
      </c>
      <c r="N52" s="22">
        <v>938.7</v>
      </c>
      <c r="O52" s="27"/>
      <c r="P52" s="22">
        <v>8.3</v>
      </c>
      <c r="Q52" s="22">
        <v>10.8</v>
      </c>
      <c r="R52" s="22"/>
      <c r="S52" s="26">
        <v>982.9</v>
      </c>
      <c r="T52" s="26">
        <v>-85.9</v>
      </c>
      <c r="U52" s="26">
        <v>334.6</v>
      </c>
      <c r="V52" s="26">
        <v>150.4</v>
      </c>
      <c r="W52" s="26">
        <v>67.7</v>
      </c>
      <c r="X52" s="22">
        <v>-127</v>
      </c>
      <c r="Y52" s="26"/>
      <c r="Z52" s="26"/>
      <c r="AA52" s="26"/>
      <c r="AB52" s="22"/>
      <c r="AC52" s="22"/>
      <c r="AD52" s="22"/>
      <c r="AE52" s="22"/>
      <c r="AF52" s="27">
        <f t="shared" si="9"/>
        <v>6051.3</v>
      </c>
      <c r="AG52" s="27">
        <f aca="true" t="shared" si="12" ref="AG52:AG59">B52+C52-AF52</f>
        <v>5312.999999999999</v>
      </c>
    </row>
    <row r="53" spans="1:33" ht="15" customHeight="1">
      <c r="A53" s="3" t="s">
        <v>2</v>
      </c>
      <c r="B53" s="22">
        <f>429.6+120</f>
        <v>549.6</v>
      </c>
      <c r="C53" s="22">
        <v>165.5</v>
      </c>
      <c r="D53" s="22"/>
      <c r="E53" s="22">
        <v>382.5</v>
      </c>
      <c r="F53" s="22"/>
      <c r="G53" s="22">
        <v>3.4</v>
      </c>
      <c r="H53" s="22"/>
      <c r="I53" s="22">
        <v>31.2</v>
      </c>
      <c r="J53" s="26">
        <v>13.3</v>
      </c>
      <c r="K53" s="22"/>
      <c r="L53" s="22"/>
      <c r="M53" s="22"/>
      <c r="N53" s="22"/>
      <c r="O53" s="27"/>
      <c r="P53" s="22">
        <v>8.3</v>
      </c>
      <c r="Q53" s="22"/>
      <c r="R53" s="22"/>
      <c r="S53" s="26">
        <v>121.6</v>
      </c>
      <c r="T53" s="26"/>
      <c r="U53" s="26"/>
      <c r="V53" s="26"/>
      <c r="W53" s="26">
        <v>67.7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628</v>
      </c>
      <c r="AG53" s="27">
        <f t="shared" si="12"/>
        <v>87.10000000000002</v>
      </c>
    </row>
    <row r="54" spans="1:34" ht="15" customHeight="1">
      <c r="A54" s="4" t="s">
        <v>9</v>
      </c>
      <c r="B54" s="44">
        <v>2015.1</v>
      </c>
      <c r="C54" s="22">
        <v>2030.3</v>
      </c>
      <c r="D54" s="22">
        <v>74</v>
      </c>
      <c r="E54" s="22">
        <v>543.8</v>
      </c>
      <c r="F54" s="22">
        <v>10.7</v>
      </c>
      <c r="G54" s="22">
        <v>40.3</v>
      </c>
      <c r="H54" s="22">
        <v>47.5</v>
      </c>
      <c r="I54" s="22"/>
      <c r="J54" s="26">
        <v>14.7</v>
      </c>
      <c r="K54" s="22">
        <v>430.8</v>
      </c>
      <c r="L54" s="22">
        <v>3.7</v>
      </c>
      <c r="M54" s="22"/>
      <c r="N54" s="22">
        <v>24.6</v>
      </c>
      <c r="O54" s="27">
        <v>81</v>
      </c>
      <c r="P54" s="22">
        <v>9.2</v>
      </c>
      <c r="Q54" s="27">
        <v>0.1</v>
      </c>
      <c r="R54" s="22">
        <v>1.7</v>
      </c>
      <c r="S54" s="26"/>
      <c r="T54" s="26">
        <v>6.9</v>
      </c>
      <c r="U54" s="26">
        <v>338</v>
      </c>
      <c r="V54" s="26">
        <v>13.7</v>
      </c>
      <c r="W54" s="26">
        <v>0.5</v>
      </c>
      <c r="X54" s="22">
        <v>-0.8</v>
      </c>
      <c r="Y54" s="26"/>
      <c r="Z54" s="26"/>
      <c r="AA54" s="26"/>
      <c r="AB54" s="22"/>
      <c r="AC54" s="22"/>
      <c r="AD54" s="22"/>
      <c r="AE54" s="22"/>
      <c r="AF54" s="27">
        <f t="shared" si="9"/>
        <v>1640.4</v>
      </c>
      <c r="AG54" s="22">
        <f t="shared" si="12"/>
        <v>2404.9999999999995</v>
      </c>
      <c r="AH54" s="6"/>
    </row>
    <row r="55" spans="1:34" ht="15.75">
      <c r="A55" s="3" t="s">
        <v>5</v>
      </c>
      <c r="B55" s="22">
        <v>1162.7</v>
      </c>
      <c r="C55" s="22">
        <v>172.6</v>
      </c>
      <c r="D55" s="22">
        <v>74</v>
      </c>
      <c r="E55" s="22">
        <v>93.6</v>
      </c>
      <c r="F55" s="22"/>
      <c r="G55" s="22"/>
      <c r="H55" s="22">
        <v>20</v>
      </c>
      <c r="I55" s="22"/>
      <c r="J55" s="26"/>
      <c r="K55" s="22">
        <v>430.6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329.1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947.3000000000001</v>
      </c>
      <c r="AG55" s="22">
        <f t="shared" si="12"/>
        <v>387.9999999999999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22.6+0.2</f>
        <v>22.8</v>
      </c>
      <c r="C57" s="22">
        <v>600.8</v>
      </c>
      <c r="D57" s="22"/>
      <c r="E57" s="22">
        <v>0.3</v>
      </c>
      <c r="F57" s="22">
        <v>1.1</v>
      </c>
      <c r="G57" s="22"/>
      <c r="H57" s="22">
        <v>0.2</v>
      </c>
      <c r="I57" s="22"/>
      <c r="J57" s="26">
        <v>0.6</v>
      </c>
      <c r="K57" s="22"/>
      <c r="L57" s="22">
        <v>0.2</v>
      </c>
      <c r="M57" s="22"/>
      <c r="N57" s="22">
        <v>4.1</v>
      </c>
      <c r="O57" s="27"/>
      <c r="P57" s="22">
        <v>1</v>
      </c>
      <c r="Q57" s="27"/>
      <c r="R57" s="22">
        <v>0.7</v>
      </c>
      <c r="S57" s="26"/>
      <c r="T57" s="26">
        <v>4.7</v>
      </c>
      <c r="U57" s="26">
        <v>0.4</v>
      </c>
      <c r="V57" s="26"/>
      <c r="W57" s="26">
        <v>0.3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13.6</v>
      </c>
      <c r="AG57" s="22">
        <f t="shared" si="12"/>
        <v>609.9999999999999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829.5999999999999</v>
      </c>
      <c r="C60" s="22">
        <f t="shared" si="13"/>
        <v>1256.9</v>
      </c>
      <c r="D60" s="22">
        <f t="shared" si="13"/>
        <v>0</v>
      </c>
      <c r="E60" s="22">
        <f t="shared" si="13"/>
        <v>449.8999999999999</v>
      </c>
      <c r="F60" s="22">
        <f t="shared" si="13"/>
        <v>9.6</v>
      </c>
      <c r="G60" s="22">
        <f t="shared" si="13"/>
        <v>40.3</v>
      </c>
      <c r="H60" s="22">
        <f t="shared" si="13"/>
        <v>27.3</v>
      </c>
      <c r="I60" s="22">
        <f t="shared" si="13"/>
        <v>0</v>
      </c>
      <c r="J60" s="22">
        <f t="shared" si="13"/>
        <v>14.1</v>
      </c>
      <c r="K60" s="22">
        <f t="shared" si="13"/>
        <v>0.19999999999998863</v>
      </c>
      <c r="L60" s="22">
        <f t="shared" si="13"/>
        <v>3.5</v>
      </c>
      <c r="M60" s="22">
        <f t="shared" si="13"/>
        <v>0</v>
      </c>
      <c r="N60" s="22">
        <f t="shared" si="13"/>
        <v>20.5</v>
      </c>
      <c r="O60" s="22">
        <f t="shared" si="13"/>
        <v>81</v>
      </c>
      <c r="P60" s="22">
        <f t="shared" si="13"/>
        <v>8.2</v>
      </c>
      <c r="Q60" s="22">
        <f t="shared" si="13"/>
        <v>0.1</v>
      </c>
      <c r="R60" s="22">
        <f t="shared" si="13"/>
        <v>1</v>
      </c>
      <c r="S60" s="22">
        <f t="shared" si="13"/>
        <v>0</v>
      </c>
      <c r="T60" s="22">
        <f t="shared" si="13"/>
        <v>2.2</v>
      </c>
      <c r="U60" s="22">
        <f t="shared" si="13"/>
        <v>8.499999999999977</v>
      </c>
      <c r="V60" s="22">
        <f t="shared" si="13"/>
        <v>13.7</v>
      </c>
      <c r="W60" s="22">
        <f t="shared" si="13"/>
        <v>0.2</v>
      </c>
      <c r="X60" s="22">
        <f t="shared" si="13"/>
        <v>-0.8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679.5</v>
      </c>
      <c r="AG60" s="22">
        <f>AG54-AG55-AG57-AG59-AG56-AG58</f>
        <v>1406.9999999999995</v>
      </c>
    </row>
    <row r="61" spans="1:33" ht="15" customHeight="1">
      <c r="A61" s="4" t="s">
        <v>10</v>
      </c>
      <c r="B61" s="22">
        <f>44.5+0.7</f>
        <v>45.2</v>
      </c>
      <c r="C61" s="22">
        <v>73.6</v>
      </c>
      <c r="D61" s="22"/>
      <c r="E61" s="22"/>
      <c r="F61" s="22"/>
      <c r="G61" s="22"/>
      <c r="H61" s="22">
        <v>0.8</v>
      </c>
      <c r="I61" s="22">
        <v>8.4</v>
      </c>
      <c r="J61" s="26"/>
      <c r="K61" s="22"/>
      <c r="L61" s="22"/>
      <c r="M61" s="22"/>
      <c r="N61" s="22"/>
      <c r="O61" s="27"/>
      <c r="P61" s="22"/>
      <c r="Q61" s="27"/>
      <c r="R61" s="22">
        <v>18.6</v>
      </c>
      <c r="S61" s="26"/>
      <c r="T61" s="26"/>
      <c r="U61" s="26"/>
      <c r="V61" s="26"/>
      <c r="W61" s="26"/>
      <c r="X61" s="22">
        <v>22.3</v>
      </c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50.10000000000001</v>
      </c>
      <c r="AG61" s="22">
        <f aca="true" t="shared" si="15" ref="AG61:AG67">B61+C61-AF61</f>
        <v>68.69999999999999</v>
      </c>
    </row>
    <row r="62" spans="1:33" ht="15" customHeight="1">
      <c r="A62" s="4" t="s">
        <v>11</v>
      </c>
      <c r="B62" s="22">
        <v>1189.5</v>
      </c>
      <c r="C62" s="22">
        <v>1848.5</v>
      </c>
      <c r="D62" s="22"/>
      <c r="E62" s="22"/>
      <c r="F62" s="22">
        <v>0.5</v>
      </c>
      <c r="G62" s="22"/>
      <c r="H62" s="22"/>
      <c r="I62" s="22">
        <v>13.2</v>
      </c>
      <c r="J62" s="26"/>
      <c r="K62" s="22"/>
      <c r="L62" s="22">
        <v>568.7</v>
      </c>
      <c r="M62" s="22">
        <v>43.8</v>
      </c>
      <c r="N62" s="22">
        <v>0.1</v>
      </c>
      <c r="O62" s="27"/>
      <c r="P62" s="22"/>
      <c r="Q62" s="27">
        <v>3.6</v>
      </c>
      <c r="R62" s="22">
        <v>6.8</v>
      </c>
      <c r="S62" s="26"/>
      <c r="T62" s="26">
        <v>11.8</v>
      </c>
      <c r="U62" s="26">
        <v>1</v>
      </c>
      <c r="V62" s="26">
        <v>498.5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1148</v>
      </c>
      <c r="AG62" s="22">
        <f t="shared" si="15"/>
        <v>1890</v>
      </c>
    </row>
    <row r="63" spans="1:34" ht="15.75">
      <c r="A63" s="3" t="s">
        <v>5</v>
      </c>
      <c r="B63" s="22">
        <v>836.2</v>
      </c>
      <c r="C63" s="22">
        <v>309.9</v>
      </c>
      <c r="D63" s="22"/>
      <c r="E63" s="22"/>
      <c r="F63" s="22"/>
      <c r="G63" s="22"/>
      <c r="H63" s="22"/>
      <c r="I63" s="22"/>
      <c r="J63" s="26"/>
      <c r="K63" s="22"/>
      <c r="L63" s="22">
        <v>487.4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393.4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880.8</v>
      </c>
      <c r="AG63" s="22">
        <f t="shared" si="15"/>
        <v>265.29999999999995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16.5</v>
      </c>
      <c r="C65" s="22">
        <v>13.6</v>
      </c>
      <c r="D65" s="22"/>
      <c r="E65" s="22"/>
      <c r="F65" s="22"/>
      <c r="G65" s="22"/>
      <c r="H65" s="22"/>
      <c r="I65" s="22">
        <v>3.8</v>
      </c>
      <c r="J65" s="26"/>
      <c r="K65" s="22"/>
      <c r="L65" s="22"/>
      <c r="M65" s="22">
        <v>1.6</v>
      </c>
      <c r="N65" s="22"/>
      <c r="O65" s="27"/>
      <c r="P65" s="22"/>
      <c r="Q65" s="27"/>
      <c r="R65" s="22"/>
      <c r="S65" s="26"/>
      <c r="T65" s="26"/>
      <c r="U65" s="26"/>
      <c r="V65" s="26">
        <v>1.9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7.300000000000001</v>
      </c>
      <c r="AG65" s="22">
        <f t="shared" si="15"/>
        <v>22.8</v>
      </c>
      <c r="AH65" s="6"/>
    </row>
    <row r="66" spans="1:33" ht="15.75">
      <c r="A66" s="3" t="s">
        <v>2</v>
      </c>
      <c r="B66" s="22">
        <v>17</v>
      </c>
      <c r="C66" s="22">
        <v>200.3</v>
      </c>
      <c r="D66" s="22"/>
      <c r="E66" s="22"/>
      <c r="F66" s="22"/>
      <c r="G66" s="22"/>
      <c r="H66" s="22"/>
      <c r="I66" s="22"/>
      <c r="J66" s="26"/>
      <c r="K66" s="22"/>
      <c r="L66" s="22"/>
      <c r="M66" s="22">
        <v>0.7</v>
      </c>
      <c r="N66" s="22">
        <v>0.1</v>
      </c>
      <c r="O66" s="27"/>
      <c r="P66" s="22"/>
      <c r="Q66" s="22">
        <v>1.8</v>
      </c>
      <c r="R66" s="22">
        <v>6.8</v>
      </c>
      <c r="S66" s="26"/>
      <c r="T66" s="26">
        <v>1.6</v>
      </c>
      <c r="U66" s="26"/>
      <c r="V66" s="26">
        <v>0.7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11.7</v>
      </c>
      <c r="AG66" s="22">
        <f t="shared" si="15"/>
        <v>205.60000000000002</v>
      </c>
    </row>
    <row r="67" spans="1:33" ht="15.75">
      <c r="A67" s="3" t="s">
        <v>17</v>
      </c>
      <c r="B67" s="22">
        <v>0</v>
      </c>
      <c r="C67" s="22">
        <v>160</v>
      </c>
      <c r="D67" s="22"/>
      <c r="E67" s="22"/>
      <c r="F67" s="22"/>
      <c r="G67" s="22"/>
      <c r="H67" s="22"/>
      <c r="I67" s="22"/>
      <c r="J67" s="26"/>
      <c r="K67" s="22"/>
      <c r="L67" s="22"/>
      <c r="M67" s="22">
        <v>40</v>
      </c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120</v>
      </c>
    </row>
    <row r="68" spans="1:33" ht="15.75">
      <c r="A68" s="3" t="s">
        <v>26</v>
      </c>
      <c r="B68" s="22">
        <f aca="true" t="shared" si="16" ref="B68:AD68">B62-B63-B66-B67-B65-B64</f>
        <v>319.79999999999995</v>
      </c>
      <c r="C68" s="22">
        <f t="shared" si="16"/>
        <v>1164.7</v>
      </c>
      <c r="D68" s="22">
        <f t="shared" si="16"/>
        <v>0</v>
      </c>
      <c r="E68" s="22">
        <f t="shared" si="16"/>
        <v>0</v>
      </c>
      <c r="F68" s="22">
        <f t="shared" si="16"/>
        <v>0.5</v>
      </c>
      <c r="G68" s="22">
        <f t="shared" si="16"/>
        <v>0</v>
      </c>
      <c r="H68" s="22">
        <f t="shared" si="16"/>
        <v>0</v>
      </c>
      <c r="I68" s="22">
        <f t="shared" si="16"/>
        <v>9.399999999999999</v>
      </c>
      <c r="J68" s="22">
        <f t="shared" si="16"/>
        <v>0</v>
      </c>
      <c r="K68" s="22">
        <f t="shared" si="16"/>
        <v>0</v>
      </c>
      <c r="L68" s="22">
        <f t="shared" si="16"/>
        <v>81.30000000000007</v>
      </c>
      <c r="M68" s="22">
        <f t="shared" si="16"/>
        <v>1.4999999999999942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1.8</v>
      </c>
      <c r="R68" s="22">
        <f t="shared" si="16"/>
        <v>0</v>
      </c>
      <c r="S68" s="22">
        <f t="shared" si="16"/>
        <v>0</v>
      </c>
      <c r="T68" s="22">
        <f t="shared" si="16"/>
        <v>10.200000000000001</v>
      </c>
      <c r="U68" s="22">
        <f t="shared" si="16"/>
        <v>1</v>
      </c>
      <c r="V68" s="22">
        <f t="shared" si="16"/>
        <v>102.50000000000001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208.2000000000001</v>
      </c>
      <c r="AG68" s="22">
        <f>AG62-AG63-AG66-AG67-AG65-AG64</f>
        <v>1276.3</v>
      </c>
    </row>
    <row r="69" spans="1:33" ht="31.5">
      <c r="A69" s="4" t="s">
        <v>32</v>
      </c>
      <c r="B69" s="22">
        <v>85.4</v>
      </c>
      <c r="C69" s="22">
        <v>1057.6</v>
      </c>
      <c r="D69" s="22"/>
      <c r="E69" s="22"/>
      <c r="F69" s="22"/>
      <c r="G69" s="22">
        <v>16.3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>
        <v>480.3</v>
      </c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496.6</v>
      </c>
      <c r="AG69" s="30">
        <f aca="true" t="shared" si="17" ref="AG69:AG92">B69+C69-AF69</f>
        <v>646.4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1437.9-0.9-200</f>
        <v>1237</v>
      </c>
      <c r="C72" s="22">
        <v>2416.4</v>
      </c>
      <c r="D72" s="22"/>
      <c r="E72" s="22">
        <v>61</v>
      </c>
      <c r="F72" s="22">
        <v>81.3</v>
      </c>
      <c r="G72" s="22">
        <v>58.3</v>
      </c>
      <c r="H72" s="22">
        <v>2.2</v>
      </c>
      <c r="I72" s="22"/>
      <c r="J72" s="26">
        <v>15.2</v>
      </c>
      <c r="K72" s="22">
        <v>1.9</v>
      </c>
      <c r="L72" s="22">
        <v>37.9</v>
      </c>
      <c r="M72" s="22">
        <v>12</v>
      </c>
      <c r="N72" s="22">
        <v>5.9</v>
      </c>
      <c r="O72" s="22"/>
      <c r="P72" s="22">
        <v>0.7</v>
      </c>
      <c r="Q72" s="27">
        <v>13.5</v>
      </c>
      <c r="R72" s="22"/>
      <c r="S72" s="26">
        <v>1.1</v>
      </c>
      <c r="T72" s="26">
        <v>3</v>
      </c>
      <c r="U72" s="26"/>
      <c r="V72" s="26">
        <v>111.3</v>
      </c>
      <c r="W72" s="26">
        <v>4.4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409.7</v>
      </c>
      <c r="AG72" s="30">
        <f t="shared" si="17"/>
        <v>3243.7000000000003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50.7</v>
      </c>
      <c r="C74" s="22">
        <v>334.5</v>
      </c>
      <c r="D74" s="22"/>
      <c r="E74" s="22">
        <v>32.7</v>
      </c>
      <c r="F74" s="22">
        <v>5.4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>
        <v>0.1</v>
      </c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38.2</v>
      </c>
      <c r="AG74" s="30">
        <f t="shared" si="17"/>
        <v>347</v>
      </c>
    </row>
    <row r="75" spans="1:33" ht="15" customHeight="1">
      <c r="A75" s="3" t="s">
        <v>17</v>
      </c>
      <c r="B75" s="22">
        <v>84.7</v>
      </c>
      <c r="C75" s="22">
        <v>285.5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367.3</v>
      </c>
    </row>
    <row r="76" spans="1:33" s="11" customFormat="1" ht="31.5">
      <c r="A76" s="12" t="s">
        <v>21</v>
      </c>
      <c r="B76" s="22">
        <v>97.7</v>
      </c>
      <c r="C76" s="22">
        <f>602.8-122</f>
        <v>480.79999999999995</v>
      </c>
      <c r="D76" s="22"/>
      <c r="E76" s="28"/>
      <c r="F76" s="28"/>
      <c r="G76" s="28"/>
      <c r="H76" s="28"/>
      <c r="I76" s="28"/>
      <c r="J76" s="29">
        <v>136.8</v>
      </c>
      <c r="K76" s="28"/>
      <c r="L76" s="28"/>
      <c r="M76" s="28">
        <v>40.6</v>
      </c>
      <c r="N76" s="28"/>
      <c r="O76" s="28"/>
      <c r="P76" s="28">
        <v>29.1</v>
      </c>
      <c r="Q76" s="31">
        <v>57.4</v>
      </c>
      <c r="R76" s="28"/>
      <c r="S76" s="29"/>
      <c r="T76" s="29"/>
      <c r="U76" s="28"/>
      <c r="V76" s="28"/>
      <c r="W76" s="28">
        <v>43.2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307.09999999999997</v>
      </c>
      <c r="AG76" s="30">
        <f t="shared" si="17"/>
        <v>271.40000000000003</v>
      </c>
    </row>
    <row r="77" spans="1:33" s="11" customFormat="1" ht="15.75">
      <c r="A77" s="3" t="s">
        <v>5</v>
      </c>
      <c r="B77" s="22">
        <v>72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/>
      <c r="M77" s="28">
        <v>28.8</v>
      </c>
      <c r="N77" s="28"/>
      <c r="O77" s="28"/>
      <c r="P77" s="28"/>
      <c r="Q77" s="31"/>
      <c r="R77" s="28"/>
      <c r="S77" s="29"/>
      <c r="T77" s="29"/>
      <c r="U77" s="28"/>
      <c r="V77" s="28"/>
      <c r="W77" s="28">
        <v>43.2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>
        <v>57.4</v>
      </c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57.4</v>
      </c>
      <c r="AG78" s="30">
        <f t="shared" si="17"/>
        <v>22.6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>
        <v>0.2</v>
      </c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0.2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2467.2</v>
      </c>
      <c r="C89" s="22">
        <v>5070.4</v>
      </c>
      <c r="D89" s="22"/>
      <c r="E89" s="22"/>
      <c r="F89" s="22"/>
      <c r="G89" s="22">
        <v>105.3</v>
      </c>
      <c r="H89" s="22"/>
      <c r="I89" s="22">
        <v>1278.3</v>
      </c>
      <c r="J89" s="22"/>
      <c r="K89" s="22"/>
      <c r="L89" s="22"/>
      <c r="M89" s="22"/>
      <c r="N89" s="22"/>
      <c r="O89" s="22"/>
      <c r="P89" s="22">
        <v>11</v>
      </c>
      <c r="Q89" s="22">
        <v>454</v>
      </c>
      <c r="R89" s="22"/>
      <c r="S89" s="26"/>
      <c r="T89" s="26">
        <v>278.3</v>
      </c>
      <c r="U89" s="22"/>
      <c r="V89" s="22">
        <v>766.1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2893</v>
      </c>
      <c r="AG89" s="22">
        <f t="shared" si="17"/>
        <v>4644.599999999999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78037+1477</f>
        <v>79514</v>
      </c>
      <c r="C92" s="22">
        <v>0</v>
      </c>
      <c r="D92" s="22">
        <v>15870.5</v>
      </c>
      <c r="E92" s="22">
        <v>9518.1</v>
      </c>
      <c r="F92" s="22"/>
      <c r="G92" s="22"/>
      <c r="H92" s="22">
        <v>214.4</v>
      </c>
      <c r="I92" s="22"/>
      <c r="J92" s="22">
        <v>3758.9</v>
      </c>
      <c r="K92" s="22">
        <v>1514.4</v>
      </c>
      <c r="L92" s="22"/>
      <c r="M92" s="22"/>
      <c r="N92" s="22">
        <v>737.1</v>
      </c>
      <c r="O92" s="22">
        <v>3410.5</v>
      </c>
      <c r="P92" s="22">
        <v>6394</v>
      </c>
      <c r="Q92" s="22">
        <v>2234</v>
      </c>
      <c r="R92" s="22">
        <v>2690.6</v>
      </c>
      <c r="S92" s="26">
        <v>2983.8</v>
      </c>
      <c r="T92" s="26">
        <v>4077.9</v>
      </c>
      <c r="U92" s="22"/>
      <c r="V92" s="22"/>
      <c r="W92" s="22">
        <v>1542.2</v>
      </c>
      <c r="X92" s="26">
        <v>7154.2</v>
      </c>
      <c r="Y92" s="26">
        <v>10110.2</v>
      </c>
      <c r="Z92" s="26"/>
      <c r="AA92" s="26"/>
      <c r="AB92" s="22"/>
      <c r="AC92" s="22"/>
      <c r="AD92" s="22"/>
      <c r="AE92" s="22"/>
      <c r="AF92" s="27">
        <f t="shared" si="14"/>
        <v>72210.8</v>
      </c>
      <c r="AG92" s="22">
        <f t="shared" si="17"/>
        <v>7303.199999999997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151299.39999999997</v>
      </c>
      <c r="C94" s="42">
        <f t="shared" si="18"/>
        <v>46751.6</v>
      </c>
      <c r="D94" s="42">
        <f t="shared" si="18"/>
        <v>16009.4</v>
      </c>
      <c r="E94" s="42">
        <f t="shared" si="18"/>
        <v>13411.2</v>
      </c>
      <c r="F94" s="42">
        <f t="shared" si="18"/>
        <v>542.1</v>
      </c>
      <c r="G94" s="42">
        <f t="shared" si="18"/>
        <v>791.9999999999998</v>
      </c>
      <c r="H94" s="42">
        <f t="shared" si="18"/>
        <v>292.3</v>
      </c>
      <c r="I94" s="42">
        <f t="shared" si="18"/>
        <v>2718.5</v>
      </c>
      <c r="J94" s="42">
        <f t="shared" si="18"/>
        <v>4986.4</v>
      </c>
      <c r="K94" s="42">
        <f t="shared" si="18"/>
        <v>2439.9</v>
      </c>
      <c r="L94" s="42">
        <f t="shared" si="18"/>
        <v>7649.3</v>
      </c>
      <c r="M94" s="42">
        <f t="shared" si="18"/>
        <v>11385.799999999997</v>
      </c>
      <c r="N94" s="42">
        <f t="shared" si="18"/>
        <v>2414.2</v>
      </c>
      <c r="O94" s="42">
        <f t="shared" si="18"/>
        <v>4075.2</v>
      </c>
      <c r="P94" s="42">
        <f t="shared" si="18"/>
        <v>6454.5</v>
      </c>
      <c r="Q94" s="42">
        <f t="shared" si="18"/>
        <v>3250</v>
      </c>
      <c r="R94" s="42">
        <f t="shared" si="18"/>
        <v>3834.1000000000004</v>
      </c>
      <c r="S94" s="42">
        <f t="shared" si="18"/>
        <v>3996.6000000000004</v>
      </c>
      <c r="T94" s="42">
        <f t="shared" si="18"/>
        <v>5529.4</v>
      </c>
      <c r="U94" s="42">
        <f t="shared" si="18"/>
        <v>12287.5</v>
      </c>
      <c r="V94" s="42">
        <f t="shared" si="18"/>
        <v>6723.799999999999</v>
      </c>
      <c r="W94" s="42">
        <f t="shared" si="18"/>
        <v>3830.3</v>
      </c>
      <c r="X94" s="42">
        <f t="shared" si="18"/>
        <v>8317.9</v>
      </c>
      <c r="Y94" s="42">
        <f t="shared" si="18"/>
        <v>10943.6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131884</v>
      </c>
      <c r="AG94" s="58">
        <f>AG10+AG15+AG24+AG33+AG47+AG52+AG54+AG61+AG62+AG69+AG71+AG72+AG76+AG81+AG82+AG83+AG88+AG89+AG90+AG91+AG70+AG40+AG92</f>
        <v>66167</v>
      </c>
    </row>
    <row r="95" spans="1:33" ht="15.75">
      <c r="A95" s="3" t="s">
        <v>5</v>
      </c>
      <c r="B95" s="22">
        <f aca="true" t="shared" si="19" ref="B95:AD95">B11+B17+B26+B34+B55+B63+B73+B41+B77+B48</f>
        <v>38706.09999999999</v>
      </c>
      <c r="C95" s="22">
        <f t="shared" si="19"/>
        <v>3496.1</v>
      </c>
      <c r="D95" s="22">
        <f t="shared" si="19"/>
        <v>136.6</v>
      </c>
      <c r="E95" s="22">
        <f t="shared" si="19"/>
        <v>1106.3</v>
      </c>
      <c r="F95" s="22">
        <f t="shared" si="19"/>
        <v>228.2</v>
      </c>
      <c r="G95" s="22">
        <f t="shared" si="19"/>
        <v>82.1</v>
      </c>
      <c r="H95" s="22">
        <f t="shared" si="19"/>
        <v>23.2</v>
      </c>
      <c r="I95" s="22">
        <f t="shared" si="19"/>
        <v>45.8</v>
      </c>
      <c r="J95" s="22">
        <f t="shared" si="19"/>
        <v>28.5</v>
      </c>
      <c r="K95" s="22">
        <f t="shared" si="19"/>
        <v>543</v>
      </c>
      <c r="L95" s="22">
        <f t="shared" si="19"/>
        <v>6708.299999999999</v>
      </c>
      <c r="M95" s="22">
        <f t="shared" si="19"/>
        <v>8559.699999999999</v>
      </c>
      <c r="N95" s="22">
        <f t="shared" si="19"/>
        <v>339.8</v>
      </c>
      <c r="O95" s="22">
        <f t="shared" si="19"/>
        <v>0</v>
      </c>
      <c r="P95" s="22">
        <f t="shared" si="19"/>
        <v>0</v>
      </c>
      <c r="Q95" s="22">
        <f t="shared" si="19"/>
        <v>18.6</v>
      </c>
      <c r="R95" s="22">
        <f t="shared" si="19"/>
        <v>15.2</v>
      </c>
      <c r="S95" s="22">
        <f t="shared" si="19"/>
        <v>0</v>
      </c>
      <c r="T95" s="22">
        <f t="shared" si="19"/>
        <v>12</v>
      </c>
      <c r="U95" s="22">
        <f t="shared" si="19"/>
        <v>10735.5</v>
      </c>
      <c r="V95" s="22">
        <f t="shared" si="19"/>
        <v>4861.599999999999</v>
      </c>
      <c r="W95" s="22">
        <f t="shared" si="19"/>
        <v>1908.3</v>
      </c>
      <c r="X95" s="22">
        <f t="shared" si="19"/>
        <v>1161.7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36514.399999999994</v>
      </c>
      <c r="AG95" s="27">
        <f>B95+C95-AF95</f>
        <v>5687.799999999996</v>
      </c>
    </row>
    <row r="96" spans="1:33" ht="15.75">
      <c r="A96" s="3" t="s">
        <v>2</v>
      </c>
      <c r="B96" s="22">
        <f aca="true" t="shared" si="20" ref="B96:AD96">B12+B20+B29+B36+B57+B66+B44+B80+B74+B53</f>
        <v>11186.800000000001</v>
      </c>
      <c r="C96" s="22">
        <f t="shared" si="20"/>
        <v>8824.7</v>
      </c>
      <c r="D96" s="22">
        <f t="shared" si="20"/>
        <v>0</v>
      </c>
      <c r="E96" s="22">
        <f t="shared" si="20"/>
        <v>518.4</v>
      </c>
      <c r="F96" s="22">
        <f t="shared" si="20"/>
        <v>44.1</v>
      </c>
      <c r="G96" s="22">
        <f t="shared" si="20"/>
        <v>24</v>
      </c>
      <c r="H96" s="22">
        <f t="shared" si="20"/>
        <v>0.2</v>
      </c>
      <c r="I96" s="22">
        <f t="shared" si="20"/>
        <v>49.3</v>
      </c>
      <c r="J96" s="22">
        <f t="shared" si="20"/>
        <v>14.4</v>
      </c>
      <c r="K96" s="22">
        <f t="shared" si="20"/>
        <v>170.4</v>
      </c>
      <c r="L96" s="22">
        <f t="shared" si="20"/>
        <v>539.3000000000001</v>
      </c>
      <c r="M96" s="22">
        <f t="shared" si="20"/>
        <v>1.2</v>
      </c>
      <c r="N96" s="22">
        <f t="shared" si="20"/>
        <v>82.89999999999999</v>
      </c>
      <c r="O96" s="22">
        <f t="shared" si="20"/>
        <v>36.800000000000004</v>
      </c>
      <c r="P96" s="22">
        <f t="shared" si="20"/>
        <v>9.3</v>
      </c>
      <c r="Q96" s="22">
        <f t="shared" si="20"/>
        <v>23.2</v>
      </c>
      <c r="R96" s="22">
        <f t="shared" si="20"/>
        <v>23.699999999999996</v>
      </c>
      <c r="S96" s="22">
        <f t="shared" si="20"/>
        <v>124.69999999999999</v>
      </c>
      <c r="T96" s="22">
        <f t="shared" si="20"/>
        <v>349.90000000000003</v>
      </c>
      <c r="U96" s="22">
        <f t="shared" si="20"/>
        <v>400.4</v>
      </c>
      <c r="V96" s="22">
        <f t="shared" si="20"/>
        <v>38.400000000000006</v>
      </c>
      <c r="W96" s="22">
        <f t="shared" si="20"/>
        <v>135.9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2586.5000000000005</v>
      </c>
      <c r="AG96" s="27">
        <f>B96+C96-AF96</f>
        <v>17425</v>
      </c>
    </row>
    <row r="97" spans="1:33" ht="15.75">
      <c r="A97" s="3" t="s">
        <v>3</v>
      </c>
      <c r="B97" s="22">
        <f aca="true" t="shared" si="21" ref="B97:AA97">B18+B27+B42+B64+B78</f>
        <v>2745.7</v>
      </c>
      <c r="C97" s="22">
        <f t="shared" si="21"/>
        <v>2652.2000000000003</v>
      </c>
      <c r="D97" s="22">
        <f t="shared" si="21"/>
        <v>0</v>
      </c>
      <c r="E97" s="22">
        <f t="shared" si="21"/>
        <v>1.6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0.3</v>
      </c>
      <c r="L97" s="22">
        <f t="shared" si="21"/>
        <v>0</v>
      </c>
      <c r="M97" s="22">
        <f t="shared" si="21"/>
        <v>2146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222.6</v>
      </c>
      <c r="R97" s="22">
        <f t="shared" si="21"/>
        <v>0</v>
      </c>
      <c r="S97" s="22">
        <f t="shared" si="21"/>
        <v>0</v>
      </c>
      <c r="T97" s="22">
        <f t="shared" si="21"/>
        <v>545.7</v>
      </c>
      <c r="U97" s="22">
        <f t="shared" si="21"/>
        <v>294.8</v>
      </c>
      <c r="V97" s="22">
        <f t="shared" si="21"/>
        <v>1.3</v>
      </c>
      <c r="W97" s="22">
        <f t="shared" si="21"/>
        <v>32.8</v>
      </c>
      <c r="X97" s="22">
        <f t="shared" si="21"/>
        <v>88.5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3333.6000000000004</v>
      </c>
      <c r="AG97" s="27">
        <f>B97+C97-AF97</f>
        <v>2064.2999999999993</v>
      </c>
    </row>
    <row r="98" spans="1:33" ht="15.75">
      <c r="A98" s="3" t="s">
        <v>1</v>
      </c>
      <c r="B98" s="22">
        <f aca="true" t="shared" si="22" ref="B98:AD98">B19+B28+B65+B35+B43+B56+B79</f>
        <v>1151.9</v>
      </c>
      <c r="C98" s="22">
        <f t="shared" si="22"/>
        <v>3592.1000000000004</v>
      </c>
      <c r="D98" s="22">
        <f t="shared" si="22"/>
        <v>0</v>
      </c>
      <c r="E98" s="22">
        <f t="shared" si="22"/>
        <v>180.5</v>
      </c>
      <c r="F98" s="22">
        <f t="shared" si="22"/>
        <v>41.7</v>
      </c>
      <c r="G98" s="22">
        <f t="shared" si="22"/>
        <v>2</v>
      </c>
      <c r="H98" s="22">
        <f t="shared" si="22"/>
        <v>0</v>
      </c>
      <c r="I98" s="22">
        <f t="shared" si="22"/>
        <v>120.19999999999999</v>
      </c>
      <c r="J98" s="22">
        <f t="shared" si="22"/>
        <v>0</v>
      </c>
      <c r="K98" s="22">
        <f t="shared" si="22"/>
        <v>0.4</v>
      </c>
      <c r="L98" s="22">
        <f t="shared" si="22"/>
        <v>67.9</v>
      </c>
      <c r="M98" s="22">
        <f t="shared" si="22"/>
        <v>1.6</v>
      </c>
      <c r="N98" s="22">
        <f t="shared" si="22"/>
        <v>24.4</v>
      </c>
      <c r="O98" s="22">
        <f t="shared" si="22"/>
        <v>34.1</v>
      </c>
      <c r="P98" s="22">
        <f t="shared" si="22"/>
        <v>0</v>
      </c>
      <c r="Q98" s="22">
        <f t="shared" si="22"/>
        <v>116.4</v>
      </c>
      <c r="R98" s="22">
        <f t="shared" si="22"/>
        <v>43.2</v>
      </c>
      <c r="S98" s="22">
        <f t="shared" si="22"/>
        <v>0</v>
      </c>
      <c r="T98" s="22">
        <f t="shared" si="22"/>
        <v>142.7</v>
      </c>
      <c r="U98" s="22">
        <f t="shared" si="22"/>
        <v>59.5</v>
      </c>
      <c r="V98" s="22">
        <f t="shared" si="22"/>
        <v>1.9</v>
      </c>
      <c r="W98" s="22">
        <f t="shared" si="22"/>
        <v>120.19999999999999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956.6999999999998</v>
      </c>
      <c r="AG98" s="27">
        <f>B98+C98-AF98</f>
        <v>3787.3</v>
      </c>
    </row>
    <row r="99" spans="1:33" ht="15.75">
      <c r="A99" s="3" t="s">
        <v>17</v>
      </c>
      <c r="B99" s="22">
        <f aca="true" t="shared" si="23" ref="B99:X99">B21+B30+B49+B37+B58+B13+B75+B67</f>
        <v>3512.7999999999993</v>
      </c>
      <c r="C99" s="22">
        <f t="shared" si="23"/>
        <v>2879.6</v>
      </c>
      <c r="D99" s="22">
        <f t="shared" si="23"/>
        <v>0</v>
      </c>
      <c r="E99" s="22">
        <f t="shared" si="23"/>
        <v>71.7</v>
      </c>
      <c r="F99" s="22">
        <f t="shared" si="23"/>
        <v>0</v>
      </c>
      <c r="G99" s="22">
        <f t="shared" si="23"/>
        <v>0</v>
      </c>
      <c r="H99" s="22">
        <f t="shared" si="23"/>
        <v>17.8</v>
      </c>
      <c r="I99" s="22">
        <f t="shared" si="23"/>
        <v>9.1</v>
      </c>
      <c r="J99" s="22">
        <f t="shared" si="23"/>
        <v>134.5</v>
      </c>
      <c r="K99" s="22">
        <f t="shared" si="23"/>
        <v>24.2</v>
      </c>
      <c r="L99" s="22">
        <f t="shared" si="23"/>
        <v>48.1</v>
      </c>
      <c r="M99" s="22">
        <f t="shared" si="23"/>
        <v>44</v>
      </c>
      <c r="N99" s="22">
        <f t="shared" si="23"/>
        <v>67.9</v>
      </c>
      <c r="O99" s="22">
        <f t="shared" si="23"/>
        <v>293.5</v>
      </c>
      <c r="P99" s="22">
        <f t="shared" si="23"/>
        <v>0</v>
      </c>
      <c r="Q99" s="22">
        <f t="shared" si="23"/>
        <v>8.9</v>
      </c>
      <c r="R99" s="22">
        <f t="shared" si="23"/>
        <v>135.7</v>
      </c>
      <c r="S99" s="22">
        <f t="shared" si="23"/>
        <v>12.5</v>
      </c>
      <c r="T99" s="22">
        <f t="shared" si="23"/>
        <v>96.1</v>
      </c>
      <c r="U99" s="22">
        <f t="shared" si="23"/>
        <v>187.8</v>
      </c>
      <c r="V99" s="22">
        <f t="shared" si="23"/>
        <v>48</v>
      </c>
      <c r="W99" s="22">
        <f t="shared" si="23"/>
        <v>54.9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1254.7000000000003</v>
      </c>
      <c r="AG99" s="27">
        <f>B99+C99-AF99</f>
        <v>5137.699999999999</v>
      </c>
    </row>
    <row r="100" spans="1:33" ht="12.75">
      <c r="A100" s="1" t="s">
        <v>41</v>
      </c>
      <c r="B100" s="2">
        <f aca="true" t="shared" si="25" ref="B100:AD100">B94-B95-B96-B97-B98-B99</f>
        <v>93996.09999999998</v>
      </c>
      <c r="C100" s="2">
        <f t="shared" si="25"/>
        <v>25306.9</v>
      </c>
      <c r="D100" s="2">
        <f t="shared" si="25"/>
        <v>15872.8</v>
      </c>
      <c r="E100" s="2">
        <f t="shared" si="25"/>
        <v>11532.7</v>
      </c>
      <c r="F100" s="2">
        <f t="shared" si="25"/>
        <v>228.10000000000002</v>
      </c>
      <c r="G100" s="2">
        <f t="shared" si="25"/>
        <v>683.8999999999997</v>
      </c>
      <c r="H100" s="2">
        <f t="shared" si="25"/>
        <v>251.10000000000002</v>
      </c>
      <c r="I100" s="2">
        <f t="shared" si="25"/>
        <v>2494.1</v>
      </c>
      <c r="J100" s="2">
        <f t="shared" si="25"/>
        <v>4809</v>
      </c>
      <c r="K100" s="2">
        <f t="shared" si="25"/>
        <v>1701.6</v>
      </c>
      <c r="L100" s="2">
        <f t="shared" si="25"/>
        <v>285.70000000000084</v>
      </c>
      <c r="M100" s="2">
        <f t="shared" si="25"/>
        <v>633.2999999999987</v>
      </c>
      <c r="N100" s="2">
        <f t="shared" si="25"/>
        <v>1899.1999999999994</v>
      </c>
      <c r="O100" s="2">
        <f t="shared" si="25"/>
        <v>3710.7999999999997</v>
      </c>
      <c r="P100" s="2">
        <f t="shared" si="25"/>
        <v>6445.2</v>
      </c>
      <c r="Q100" s="2">
        <f t="shared" si="25"/>
        <v>2860.3</v>
      </c>
      <c r="R100" s="2">
        <f t="shared" si="25"/>
        <v>3616.300000000001</v>
      </c>
      <c r="S100" s="2">
        <f t="shared" si="25"/>
        <v>3859.4000000000005</v>
      </c>
      <c r="T100" s="2">
        <f t="shared" si="25"/>
        <v>4383</v>
      </c>
      <c r="U100" s="2">
        <f t="shared" si="25"/>
        <v>609.5</v>
      </c>
      <c r="V100" s="2">
        <f t="shared" si="25"/>
        <v>1772.5999999999997</v>
      </c>
      <c r="W100" s="2">
        <f t="shared" si="25"/>
        <v>1578.2</v>
      </c>
      <c r="X100" s="2">
        <f t="shared" si="25"/>
        <v>7067.7</v>
      </c>
      <c r="Y100" s="2">
        <f t="shared" si="25"/>
        <v>10943.6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87238.1</v>
      </c>
      <c r="AG100" s="2">
        <f>AG94-AG95-AG96-AG97-AG98-AG99</f>
        <v>32064.90000000001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51" sqref="Q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25</v>
      </c>
      <c r="V4" s="8">
        <v>26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22770.8</v>
      </c>
      <c r="C7" s="72">
        <v>18332</v>
      </c>
      <c r="D7" s="45"/>
      <c r="E7" s="46">
        <v>11385.4</v>
      </c>
      <c r="F7" s="46"/>
      <c r="G7" s="46"/>
      <c r="H7" s="74"/>
      <c r="I7" s="46"/>
      <c r="J7" s="47"/>
      <c r="K7" s="46"/>
      <c r="L7" s="46"/>
      <c r="M7" s="46">
        <v>11385.4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17858.1</v>
      </c>
      <c r="AF7" s="72"/>
      <c r="AG7" s="48"/>
    </row>
    <row r="8" spans="1:55" ht="18" customHeight="1">
      <c r="A8" s="60" t="s">
        <v>34</v>
      </c>
      <c r="B8" s="40">
        <f>SUM(D8:AB8)</f>
        <v>102350.5</v>
      </c>
      <c r="C8" s="40">
        <v>105350.8</v>
      </c>
      <c r="D8" s="43">
        <v>10337.3</v>
      </c>
      <c r="E8" s="55">
        <v>4674.6</v>
      </c>
      <c r="F8" s="55">
        <v>3054.4</v>
      </c>
      <c r="G8" s="55">
        <v>1511</v>
      </c>
      <c r="H8" s="55">
        <v>4150.3</v>
      </c>
      <c r="I8" s="55">
        <v>7837.9</v>
      </c>
      <c r="J8" s="56">
        <v>4967.1</v>
      </c>
      <c r="K8" s="55">
        <v>2115</v>
      </c>
      <c r="L8" s="55">
        <v>2086.7</v>
      </c>
      <c r="M8" s="55">
        <v>1954.8</v>
      </c>
      <c r="N8" s="55">
        <v>3479.8</v>
      </c>
      <c r="O8" s="55">
        <v>4884.7</v>
      </c>
      <c r="P8" s="55">
        <v>3866.6</v>
      </c>
      <c r="Q8" s="55">
        <v>3721.7</v>
      </c>
      <c r="R8" s="55">
        <v>5167.1</v>
      </c>
      <c r="S8" s="57">
        <v>5928</v>
      </c>
      <c r="T8" s="57">
        <v>4501.3</v>
      </c>
      <c r="U8" s="55">
        <v>2908.9</v>
      </c>
      <c r="V8" s="55">
        <v>2082.5</v>
      </c>
      <c r="W8" s="55">
        <v>4050.6</v>
      </c>
      <c r="X8" s="56">
        <v>8603.9</v>
      </c>
      <c r="Y8" s="56">
        <v>10466.3</v>
      </c>
      <c r="Z8" s="56"/>
      <c r="AA8" s="56"/>
      <c r="AB8" s="55"/>
      <c r="AC8" s="23"/>
      <c r="AD8" s="23"/>
      <c r="AE8" s="61">
        <v>86959.5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140225.60000000003</v>
      </c>
      <c r="C9" s="24">
        <f t="shared" si="0"/>
        <v>66166.99999999999</v>
      </c>
      <c r="D9" s="24">
        <f t="shared" si="0"/>
        <v>10391.1</v>
      </c>
      <c r="E9" s="24">
        <f t="shared" si="0"/>
        <v>4687.6</v>
      </c>
      <c r="F9" s="24">
        <f t="shared" si="0"/>
        <v>3055</v>
      </c>
      <c r="G9" s="24">
        <f t="shared" si="0"/>
        <v>1511</v>
      </c>
      <c r="H9" s="24">
        <f t="shared" si="0"/>
        <v>4222.200000000001</v>
      </c>
      <c r="I9" s="24">
        <f t="shared" si="0"/>
        <v>8506.300000000001</v>
      </c>
      <c r="J9" s="24">
        <f t="shared" si="0"/>
        <v>4972.099999999999</v>
      </c>
      <c r="K9" s="24">
        <f t="shared" si="0"/>
        <v>13465.1</v>
      </c>
      <c r="L9" s="24">
        <f t="shared" si="0"/>
        <v>9870.9</v>
      </c>
      <c r="M9" s="24">
        <f t="shared" si="0"/>
        <v>1966.1</v>
      </c>
      <c r="N9" s="24">
        <f t="shared" si="0"/>
        <v>4209.5</v>
      </c>
      <c r="O9" s="24">
        <f t="shared" si="0"/>
        <v>4901.099999999999</v>
      </c>
      <c r="P9" s="24">
        <f t="shared" si="0"/>
        <v>3991.1000000000004</v>
      </c>
      <c r="Q9" s="24">
        <f t="shared" si="0"/>
        <v>3721.7000000000003</v>
      </c>
      <c r="R9" s="24">
        <f t="shared" si="0"/>
        <v>6056.8</v>
      </c>
      <c r="S9" s="24">
        <f t="shared" si="0"/>
        <v>6620.4</v>
      </c>
      <c r="T9" s="24">
        <f t="shared" si="0"/>
        <v>4563.4</v>
      </c>
      <c r="U9" s="24">
        <f t="shared" si="0"/>
        <v>8192.4</v>
      </c>
      <c r="V9" s="24">
        <f t="shared" si="0"/>
        <v>7440.200000000001</v>
      </c>
      <c r="W9" s="24">
        <f t="shared" si="0"/>
        <v>12423.1</v>
      </c>
      <c r="X9" s="24">
        <f t="shared" si="0"/>
        <v>7862.800000000001</v>
      </c>
      <c r="Y9" s="24">
        <f t="shared" si="0"/>
        <v>11356.6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143986.5</v>
      </c>
      <c r="AG9" s="50">
        <f>AG10+AG15+AG24+AG33+AG47+AG52+AG54+AG61+AG62+AG71+AG72+AG76+AG88+AG81+AG83+AG82+AG69+AG89+AG91+AG90+AG70+AG40+AG92</f>
        <v>62406.099999999984</v>
      </c>
      <c r="AH9" s="49"/>
      <c r="AI9" s="49"/>
    </row>
    <row r="10" spans="1:33" ht="15.75">
      <c r="A10" s="4" t="s">
        <v>4</v>
      </c>
      <c r="B10" s="22">
        <f>4600+123.9+111.2</f>
        <v>4835.099999999999</v>
      </c>
      <c r="C10" s="22">
        <v>3442.2</v>
      </c>
      <c r="D10" s="22">
        <v>24</v>
      </c>
      <c r="E10" s="22">
        <v>92.6</v>
      </c>
      <c r="F10" s="22">
        <v>21.3</v>
      </c>
      <c r="G10" s="22">
        <v>38.1</v>
      </c>
      <c r="H10" s="22">
        <v>215.3</v>
      </c>
      <c r="I10" s="22"/>
      <c r="J10" s="25">
        <v>162.2</v>
      </c>
      <c r="K10" s="22">
        <v>457.8</v>
      </c>
      <c r="L10" s="22">
        <v>900.2</v>
      </c>
      <c r="M10" s="22">
        <v>167.7</v>
      </c>
      <c r="N10" s="22">
        <v>3.4</v>
      </c>
      <c r="O10" s="27">
        <v>5.9</v>
      </c>
      <c r="P10" s="22">
        <v>41.7</v>
      </c>
      <c r="Q10" s="22">
        <v>11.1</v>
      </c>
      <c r="R10" s="22">
        <v>18.2</v>
      </c>
      <c r="S10" s="26">
        <v>49.7</v>
      </c>
      <c r="T10" s="26">
        <v>33.7</v>
      </c>
      <c r="U10" s="26">
        <v>1.6</v>
      </c>
      <c r="V10" s="26">
        <v>11.6</v>
      </c>
      <c r="W10" s="26">
        <v>1418.6</v>
      </c>
      <c r="X10" s="22">
        <v>962.9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4637.5999999999985</v>
      </c>
      <c r="AG10" s="27">
        <f>B10+C10-AF10</f>
        <v>3639.7000000000007</v>
      </c>
    </row>
    <row r="11" spans="1:33" ht="15.75">
      <c r="A11" s="3" t="s">
        <v>5</v>
      </c>
      <c r="B11" s="22">
        <f>3964.9+33</f>
        <v>3997.9</v>
      </c>
      <c r="C11" s="22">
        <v>2210.3</v>
      </c>
      <c r="D11" s="22">
        <v>24</v>
      </c>
      <c r="E11" s="22">
        <v>2.5</v>
      </c>
      <c r="F11" s="22">
        <v>3</v>
      </c>
      <c r="G11" s="22"/>
      <c r="H11" s="22">
        <v>39.9</v>
      </c>
      <c r="I11" s="22"/>
      <c r="J11" s="26">
        <v>149.5</v>
      </c>
      <c r="K11" s="22">
        <v>436.6</v>
      </c>
      <c r="L11" s="22">
        <v>889.5</v>
      </c>
      <c r="M11" s="22">
        <v>159.8</v>
      </c>
      <c r="N11" s="22"/>
      <c r="O11" s="27"/>
      <c r="P11" s="22"/>
      <c r="Q11" s="22">
        <v>3.4</v>
      </c>
      <c r="R11" s="22"/>
      <c r="S11" s="26"/>
      <c r="T11" s="26"/>
      <c r="U11" s="26"/>
      <c r="V11" s="26"/>
      <c r="W11" s="26">
        <v>1417.1</v>
      </c>
      <c r="X11" s="22">
        <v>921</v>
      </c>
      <c r="Y11" s="26"/>
      <c r="Z11" s="26"/>
      <c r="AA11" s="26"/>
      <c r="AB11" s="22"/>
      <c r="AC11" s="22"/>
      <c r="AD11" s="22"/>
      <c r="AE11" s="22"/>
      <c r="AF11" s="22">
        <f t="shared" si="1"/>
        <v>4046.3</v>
      </c>
      <c r="AG11" s="27">
        <f>B11+C11-AF11</f>
        <v>2161.9000000000005</v>
      </c>
    </row>
    <row r="12" spans="1:33" ht="15.75">
      <c r="A12" s="3" t="s">
        <v>2</v>
      </c>
      <c r="B12" s="36">
        <v>75.9</v>
      </c>
      <c r="C12" s="22">
        <v>180.3</v>
      </c>
      <c r="D12" s="22"/>
      <c r="E12" s="22"/>
      <c r="F12" s="22"/>
      <c r="G12" s="22">
        <v>35.6</v>
      </c>
      <c r="H12" s="22">
        <v>0.9</v>
      </c>
      <c r="I12" s="22"/>
      <c r="J12" s="26"/>
      <c r="K12" s="22"/>
      <c r="L12" s="22"/>
      <c r="M12" s="22"/>
      <c r="N12" s="22"/>
      <c r="O12" s="27"/>
      <c r="P12" s="22"/>
      <c r="Q12" s="22"/>
      <c r="R12" s="22">
        <v>0.3</v>
      </c>
      <c r="S12" s="26"/>
      <c r="T12" s="26"/>
      <c r="U12" s="26"/>
      <c r="V12" s="26"/>
      <c r="W12" s="26"/>
      <c r="X12" s="22">
        <v>39.3</v>
      </c>
      <c r="Y12" s="26"/>
      <c r="Z12" s="26"/>
      <c r="AA12" s="26"/>
      <c r="AB12" s="22"/>
      <c r="AC12" s="22"/>
      <c r="AD12" s="22"/>
      <c r="AE12" s="22"/>
      <c r="AF12" s="22">
        <f t="shared" si="1"/>
        <v>76.1</v>
      </c>
      <c r="AG12" s="27">
        <f>B12+C12-AF12</f>
        <v>180.10000000000005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761.2999999999994</v>
      </c>
      <c r="C14" s="22">
        <f t="shared" si="2"/>
        <v>1051.5999999999997</v>
      </c>
      <c r="D14" s="22">
        <f t="shared" si="2"/>
        <v>0</v>
      </c>
      <c r="E14" s="22">
        <f t="shared" si="2"/>
        <v>90.1</v>
      </c>
      <c r="F14" s="22">
        <f t="shared" si="2"/>
        <v>18.3</v>
      </c>
      <c r="G14" s="22">
        <f t="shared" si="2"/>
        <v>2.5</v>
      </c>
      <c r="H14" s="22">
        <f t="shared" si="2"/>
        <v>174.5</v>
      </c>
      <c r="I14" s="22">
        <f t="shared" si="2"/>
        <v>0</v>
      </c>
      <c r="J14" s="22">
        <f t="shared" si="2"/>
        <v>12.699999999999989</v>
      </c>
      <c r="K14" s="22">
        <f t="shared" si="2"/>
        <v>21.19999999999999</v>
      </c>
      <c r="L14" s="22">
        <f t="shared" si="2"/>
        <v>10.700000000000045</v>
      </c>
      <c r="M14" s="22">
        <f t="shared" si="2"/>
        <v>7.899999999999977</v>
      </c>
      <c r="N14" s="22">
        <f t="shared" si="2"/>
        <v>3.4</v>
      </c>
      <c r="O14" s="22">
        <f t="shared" si="2"/>
        <v>5.9</v>
      </c>
      <c r="P14" s="22">
        <f t="shared" si="2"/>
        <v>41.7</v>
      </c>
      <c r="Q14" s="22">
        <f t="shared" si="2"/>
        <v>7.699999999999999</v>
      </c>
      <c r="R14" s="22">
        <f t="shared" si="2"/>
        <v>17.9</v>
      </c>
      <c r="S14" s="22">
        <f t="shared" si="2"/>
        <v>49.7</v>
      </c>
      <c r="T14" s="22">
        <f t="shared" si="2"/>
        <v>33.7</v>
      </c>
      <c r="U14" s="22">
        <f t="shared" si="2"/>
        <v>1.6</v>
      </c>
      <c r="V14" s="22">
        <f t="shared" si="2"/>
        <v>11.6</v>
      </c>
      <c r="W14" s="22">
        <f t="shared" si="2"/>
        <v>1.5</v>
      </c>
      <c r="X14" s="22">
        <f t="shared" si="2"/>
        <v>2.59999999999998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515.1999999999999</v>
      </c>
      <c r="AG14" s="27">
        <f>AG10-AG11-AG12-AG13</f>
        <v>1297.7</v>
      </c>
    </row>
    <row r="15" spans="1:33" ht="15" customHeight="1">
      <c r="A15" s="4" t="s">
        <v>6</v>
      </c>
      <c r="B15" s="22">
        <f>16802+1079.4-0.1</f>
        <v>17881.300000000003</v>
      </c>
      <c r="C15" s="22">
        <v>24642.7</v>
      </c>
      <c r="D15" s="44">
        <v>22.2</v>
      </c>
      <c r="E15" s="44">
        <v>199.3</v>
      </c>
      <c r="F15" s="22">
        <v>0.6</v>
      </c>
      <c r="G15" s="22">
        <v>56.5</v>
      </c>
      <c r="H15" s="22">
        <v>345.6</v>
      </c>
      <c r="I15" s="22">
        <v>74.2</v>
      </c>
      <c r="J15" s="26"/>
      <c r="K15" s="22">
        <v>5939.3</v>
      </c>
      <c r="L15" s="22">
        <v>15.4</v>
      </c>
      <c r="M15" s="22">
        <v>329.9</v>
      </c>
      <c r="N15" s="22">
        <v>242.8</v>
      </c>
      <c r="O15" s="27">
        <v>27.1</v>
      </c>
      <c r="P15" s="22">
        <v>377.4</v>
      </c>
      <c r="Q15" s="27">
        <v>179.6</v>
      </c>
      <c r="R15" s="22">
        <v>253.2</v>
      </c>
      <c r="S15" s="26">
        <v>325.6</v>
      </c>
      <c r="T15" s="26">
        <v>45.4</v>
      </c>
      <c r="U15" s="26">
        <v>5613.3</v>
      </c>
      <c r="V15" s="26">
        <v>450.2</v>
      </c>
      <c r="W15" s="26">
        <v>4414.7</v>
      </c>
      <c r="X15" s="22">
        <v>121</v>
      </c>
      <c r="Y15" s="26">
        <v>0.2</v>
      </c>
      <c r="Z15" s="26"/>
      <c r="AA15" s="26"/>
      <c r="AB15" s="22"/>
      <c r="AC15" s="22"/>
      <c r="AD15" s="22"/>
      <c r="AE15" s="22"/>
      <c r="AF15" s="27">
        <f t="shared" si="1"/>
        <v>19033.500000000004</v>
      </c>
      <c r="AG15" s="27">
        <f aca="true" t="shared" si="3" ref="AG15:AG31">B15+C15-AF15</f>
        <v>23490.499999999996</v>
      </c>
    </row>
    <row r="16" spans="1:34" s="70" customFormat="1" ht="15" customHeight="1">
      <c r="A16" s="65" t="s">
        <v>46</v>
      </c>
      <c r="B16" s="66">
        <f>6851.8-613.8-0.1</f>
        <v>6237.9</v>
      </c>
      <c r="C16" s="66">
        <v>12937.3</v>
      </c>
      <c r="D16" s="67"/>
      <c r="E16" s="67">
        <v>10</v>
      </c>
      <c r="F16" s="66">
        <v>0.6</v>
      </c>
      <c r="G16" s="66"/>
      <c r="H16" s="66">
        <v>71.9</v>
      </c>
      <c r="I16" s="66">
        <v>23.6</v>
      </c>
      <c r="J16" s="68"/>
      <c r="K16" s="66">
        <v>2726</v>
      </c>
      <c r="L16" s="66">
        <v>15.4</v>
      </c>
      <c r="M16" s="66">
        <v>11.3</v>
      </c>
      <c r="N16" s="66">
        <v>22.8</v>
      </c>
      <c r="O16" s="69">
        <v>1.7</v>
      </c>
      <c r="P16" s="66"/>
      <c r="Q16" s="69"/>
      <c r="R16" s="66">
        <v>70.2</v>
      </c>
      <c r="S16" s="68">
        <v>1.2</v>
      </c>
      <c r="T16" s="68">
        <v>45.4</v>
      </c>
      <c r="U16" s="68">
        <v>5283.6</v>
      </c>
      <c r="V16" s="68">
        <v>78.8</v>
      </c>
      <c r="W16" s="68">
        <v>6.1</v>
      </c>
      <c r="X16" s="66">
        <v>91.1</v>
      </c>
      <c r="Y16" s="68"/>
      <c r="Z16" s="68"/>
      <c r="AA16" s="68"/>
      <c r="AB16" s="66"/>
      <c r="AC16" s="66"/>
      <c r="AD16" s="66"/>
      <c r="AE16" s="66"/>
      <c r="AF16" s="71">
        <f t="shared" si="1"/>
        <v>8459.7</v>
      </c>
      <c r="AG16" s="71">
        <f t="shared" si="3"/>
        <v>10715.499999999996</v>
      </c>
      <c r="AH16" s="75"/>
    </row>
    <row r="17" spans="1:34" ht="15.75">
      <c r="A17" s="3" t="s">
        <v>5</v>
      </c>
      <c r="B17" s="22">
        <f>13092.8+1523+0.2</f>
        <v>14616</v>
      </c>
      <c r="C17" s="22">
        <v>2606.5</v>
      </c>
      <c r="D17" s="22">
        <v>22.2</v>
      </c>
      <c r="E17" s="22">
        <v>100.4</v>
      </c>
      <c r="F17" s="22"/>
      <c r="G17" s="22"/>
      <c r="H17" s="22"/>
      <c r="I17" s="22"/>
      <c r="J17" s="26"/>
      <c r="K17" s="22">
        <v>5804.9</v>
      </c>
      <c r="L17" s="22">
        <v>15.4</v>
      </c>
      <c r="M17" s="22"/>
      <c r="N17" s="22"/>
      <c r="O17" s="27"/>
      <c r="P17" s="22"/>
      <c r="Q17" s="27"/>
      <c r="R17" s="22"/>
      <c r="S17" s="26"/>
      <c r="T17" s="26"/>
      <c r="U17" s="26">
        <v>5269.5</v>
      </c>
      <c r="V17" s="26">
        <v>334.6</v>
      </c>
      <c r="W17" s="26">
        <v>4306.4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15853.4</v>
      </c>
      <c r="AG17" s="27">
        <f t="shared" si="3"/>
        <v>1369.1000000000004</v>
      </c>
      <c r="AH17" s="6"/>
    </row>
    <row r="18" spans="1:33" ht="15.75">
      <c r="A18" s="3" t="s">
        <v>3</v>
      </c>
      <c r="B18" s="22">
        <v>0.8</v>
      </c>
      <c r="C18" s="22">
        <v>16.6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>
        <v>0.4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0.4</v>
      </c>
      <c r="AG18" s="27">
        <f t="shared" si="3"/>
        <v>17.000000000000004</v>
      </c>
    </row>
    <row r="19" spans="1:33" ht="15.75">
      <c r="A19" s="3" t="s">
        <v>1</v>
      </c>
      <c r="B19" s="22">
        <v>1046</v>
      </c>
      <c r="C19" s="22">
        <v>3636.7</v>
      </c>
      <c r="D19" s="22"/>
      <c r="E19" s="22"/>
      <c r="F19" s="22"/>
      <c r="G19" s="22"/>
      <c r="H19" s="22">
        <v>164.5</v>
      </c>
      <c r="I19" s="22">
        <v>50.6</v>
      </c>
      <c r="J19" s="26"/>
      <c r="K19" s="22">
        <v>31</v>
      </c>
      <c r="L19" s="22"/>
      <c r="M19" s="22">
        <v>89</v>
      </c>
      <c r="N19" s="22">
        <v>73.5</v>
      </c>
      <c r="O19" s="27">
        <v>23.5</v>
      </c>
      <c r="P19" s="22">
        <v>24.2</v>
      </c>
      <c r="Q19" s="27">
        <v>171.8</v>
      </c>
      <c r="R19" s="22">
        <v>146.2</v>
      </c>
      <c r="S19" s="26">
        <v>23.8</v>
      </c>
      <c r="T19" s="26"/>
      <c r="U19" s="26">
        <v>262.5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1060.6</v>
      </c>
      <c r="AG19" s="27">
        <f t="shared" si="3"/>
        <v>3622.1</v>
      </c>
    </row>
    <row r="20" spans="1:33" ht="15.75">
      <c r="A20" s="3" t="s">
        <v>2</v>
      </c>
      <c r="B20" s="22">
        <f>615.8+106</f>
        <v>721.8</v>
      </c>
      <c r="C20" s="22">
        <v>14076.1</v>
      </c>
      <c r="D20" s="22"/>
      <c r="E20" s="22">
        <v>4</v>
      </c>
      <c r="F20" s="22"/>
      <c r="G20" s="22"/>
      <c r="H20" s="22">
        <v>19</v>
      </c>
      <c r="I20" s="22"/>
      <c r="J20" s="26"/>
      <c r="K20" s="22"/>
      <c r="L20" s="22"/>
      <c r="M20" s="22">
        <v>41.9</v>
      </c>
      <c r="N20" s="22">
        <v>3.4</v>
      </c>
      <c r="O20" s="27"/>
      <c r="P20" s="22">
        <v>55.5</v>
      </c>
      <c r="Q20" s="27">
        <v>2</v>
      </c>
      <c r="R20" s="22">
        <v>48.7</v>
      </c>
      <c r="S20" s="26">
        <v>155.8</v>
      </c>
      <c r="T20" s="26">
        <v>15.6</v>
      </c>
      <c r="U20" s="26">
        <v>14.9</v>
      </c>
      <c r="V20" s="26">
        <v>38</v>
      </c>
      <c r="W20" s="26">
        <v>82.3</v>
      </c>
      <c r="X20" s="22">
        <v>2.2</v>
      </c>
      <c r="Y20" s="26"/>
      <c r="Z20" s="26"/>
      <c r="AA20" s="26"/>
      <c r="AB20" s="22"/>
      <c r="AC20" s="22"/>
      <c r="AD20" s="22"/>
      <c r="AE20" s="22"/>
      <c r="AF20" s="27">
        <f t="shared" si="1"/>
        <v>483.3</v>
      </c>
      <c r="AG20" s="27">
        <f t="shared" si="3"/>
        <v>14314.6</v>
      </c>
    </row>
    <row r="21" spans="1:33" ht="15.75">
      <c r="A21" s="3" t="s">
        <v>17</v>
      </c>
      <c r="B21" s="22">
        <v>819.4</v>
      </c>
      <c r="C21" s="22">
        <v>733.5</v>
      </c>
      <c r="D21" s="22"/>
      <c r="E21" s="22">
        <v>52.2</v>
      </c>
      <c r="F21" s="22"/>
      <c r="G21" s="22"/>
      <c r="H21" s="22">
        <v>8.7</v>
      </c>
      <c r="I21" s="22"/>
      <c r="J21" s="26"/>
      <c r="K21" s="22">
        <v>103.4</v>
      </c>
      <c r="L21" s="22"/>
      <c r="M21" s="22">
        <v>132.8</v>
      </c>
      <c r="N21" s="22"/>
      <c r="O21" s="27"/>
      <c r="P21" s="22">
        <v>254.3</v>
      </c>
      <c r="Q21" s="27"/>
      <c r="R21" s="22"/>
      <c r="S21" s="26">
        <v>130.9</v>
      </c>
      <c r="T21" s="26"/>
      <c r="U21" s="22"/>
      <c r="V21" s="22"/>
      <c r="W21" s="22"/>
      <c r="X21" s="26">
        <v>17.4</v>
      </c>
      <c r="Y21" s="26"/>
      <c r="Z21" s="26"/>
      <c r="AA21" s="26"/>
      <c r="AB21" s="22"/>
      <c r="AC21" s="22"/>
      <c r="AD21" s="22"/>
      <c r="AE21" s="22"/>
      <c r="AF21" s="27">
        <f t="shared" si="1"/>
        <v>699.7</v>
      </c>
      <c r="AG21" s="27">
        <f t="shared" si="3"/>
        <v>853.2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677.3000000000028</v>
      </c>
      <c r="C23" s="22">
        <f t="shared" si="4"/>
        <v>3573.300000000001</v>
      </c>
      <c r="D23" s="22">
        <f t="shared" si="4"/>
        <v>0</v>
      </c>
      <c r="E23" s="22">
        <f t="shared" si="4"/>
        <v>42.7</v>
      </c>
      <c r="F23" s="22">
        <f t="shared" si="4"/>
        <v>0.6</v>
      </c>
      <c r="G23" s="22">
        <f t="shared" si="4"/>
        <v>56.5</v>
      </c>
      <c r="H23" s="22">
        <f t="shared" si="4"/>
        <v>153.40000000000003</v>
      </c>
      <c r="I23" s="22">
        <f t="shared" si="4"/>
        <v>23.6</v>
      </c>
      <c r="J23" s="22">
        <f t="shared" si="4"/>
        <v>0</v>
      </c>
      <c r="K23" s="22">
        <f t="shared" si="4"/>
        <v>5.400124791776761E-13</v>
      </c>
      <c r="L23" s="22">
        <f t="shared" si="4"/>
        <v>0</v>
      </c>
      <c r="M23" s="22">
        <f t="shared" si="4"/>
        <v>66.19999999999996</v>
      </c>
      <c r="N23" s="22">
        <f t="shared" si="4"/>
        <v>165.9</v>
      </c>
      <c r="O23" s="22">
        <f t="shared" si="4"/>
        <v>3.6000000000000014</v>
      </c>
      <c r="P23" s="22">
        <f t="shared" si="4"/>
        <v>43.39999999999998</v>
      </c>
      <c r="Q23" s="22">
        <f t="shared" si="4"/>
        <v>5.799999999999983</v>
      </c>
      <c r="R23" s="22">
        <f t="shared" si="4"/>
        <v>58.3</v>
      </c>
      <c r="S23" s="22">
        <f t="shared" si="4"/>
        <v>15.099999999999994</v>
      </c>
      <c r="T23" s="22">
        <f t="shared" si="4"/>
        <v>29.799999999999997</v>
      </c>
      <c r="U23" s="22">
        <f t="shared" si="4"/>
        <v>66.40000000000018</v>
      </c>
      <c r="V23" s="22">
        <f t="shared" si="4"/>
        <v>77.19999999999996</v>
      </c>
      <c r="W23" s="22">
        <f t="shared" si="4"/>
        <v>26.000000000000185</v>
      </c>
      <c r="X23" s="22">
        <f t="shared" si="4"/>
        <v>101.4</v>
      </c>
      <c r="Y23" s="22">
        <f t="shared" si="4"/>
        <v>0.2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936.1000000000008</v>
      </c>
      <c r="AG23" s="27">
        <f t="shared" si="3"/>
        <v>3314.500000000003</v>
      </c>
    </row>
    <row r="24" spans="1:33" ht="15" customHeight="1">
      <c r="A24" s="4" t="s">
        <v>7</v>
      </c>
      <c r="B24" s="22">
        <f>21964.7+1206.6-0.2</f>
        <v>23171.1</v>
      </c>
      <c r="C24" s="22">
        <v>7355.2</v>
      </c>
      <c r="D24" s="22">
        <v>84.8</v>
      </c>
      <c r="E24" s="22">
        <v>3.2</v>
      </c>
      <c r="F24" s="22">
        <v>3.9</v>
      </c>
      <c r="G24" s="22"/>
      <c r="H24" s="22"/>
      <c r="I24" s="22">
        <v>807.5</v>
      </c>
      <c r="J24" s="26">
        <v>4.9</v>
      </c>
      <c r="K24" s="22"/>
      <c r="L24" s="22">
        <v>6965.8</v>
      </c>
      <c r="M24" s="22"/>
      <c r="N24" s="22">
        <v>706.9</v>
      </c>
      <c r="O24" s="27">
        <v>14.6</v>
      </c>
      <c r="P24" s="22">
        <v>299.9</v>
      </c>
      <c r="Q24" s="27">
        <v>39</v>
      </c>
      <c r="R24" s="27">
        <v>356.1</v>
      </c>
      <c r="S24" s="26">
        <v>905.6</v>
      </c>
      <c r="T24" s="26">
        <v>18.4</v>
      </c>
      <c r="U24" s="26"/>
      <c r="V24" s="26">
        <v>5278.9</v>
      </c>
      <c r="W24" s="26">
        <v>4480.6</v>
      </c>
      <c r="X24" s="22">
        <v>13</v>
      </c>
      <c r="Y24" s="26">
        <v>2.3</v>
      </c>
      <c r="Z24" s="26"/>
      <c r="AA24" s="26"/>
      <c r="AB24" s="22"/>
      <c r="AC24" s="22"/>
      <c r="AD24" s="22"/>
      <c r="AE24" s="22"/>
      <c r="AF24" s="27">
        <f t="shared" si="1"/>
        <v>19985.399999999998</v>
      </c>
      <c r="AG24" s="27">
        <f t="shared" si="3"/>
        <v>10540.900000000001</v>
      </c>
    </row>
    <row r="25" spans="1:34" s="70" customFormat="1" ht="15" customHeight="1">
      <c r="A25" s="65" t="s">
        <v>47</v>
      </c>
      <c r="B25" s="66">
        <f>15919-0.1</f>
        <v>15918.9</v>
      </c>
      <c r="C25" s="66">
        <v>5381.7</v>
      </c>
      <c r="D25" s="66">
        <v>53.8</v>
      </c>
      <c r="E25" s="66">
        <v>3</v>
      </c>
      <c r="F25" s="66"/>
      <c r="G25" s="66"/>
      <c r="H25" s="66"/>
      <c r="I25" s="66">
        <v>644.8</v>
      </c>
      <c r="J25" s="68">
        <v>4.9</v>
      </c>
      <c r="K25" s="66"/>
      <c r="L25" s="66">
        <v>6932.5</v>
      </c>
      <c r="M25" s="66"/>
      <c r="N25" s="66">
        <v>706.9</v>
      </c>
      <c r="O25" s="69">
        <v>14.6</v>
      </c>
      <c r="P25" s="66">
        <v>124.5</v>
      </c>
      <c r="Q25" s="69"/>
      <c r="R25" s="69">
        <v>13.9</v>
      </c>
      <c r="S25" s="68">
        <v>691.2</v>
      </c>
      <c r="T25" s="68">
        <v>16.6</v>
      </c>
      <c r="U25" s="68"/>
      <c r="V25" s="68">
        <v>5278.9</v>
      </c>
      <c r="W25" s="68">
        <v>241.2</v>
      </c>
      <c r="X25" s="66">
        <v>4.4</v>
      </c>
      <c r="Y25" s="68"/>
      <c r="Z25" s="68"/>
      <c r="AA25" s="68"/>
      <c r="AB25" s="66"/>
      <c r="AC25" s="66"/>
      <c r="AD25" s="66"/>
      <c r="AE25" s="66"/>
      <c r="AF25" s="71">
        <f t="shared" si="1"/>
        <v>14731.2</v>
      </c>
      <c r="AG25" s="71">
        <f t="shared" si="3"/>
        <v>6569.399999999998</v>
      </c>
      <c r="AH25" s="75"/>
    </row>
    <row r="26" spans="1:34" ht="15.75">
      <c r="A26" s="3" t="s">
        <v>5</v>
      </c>
      <c r="B26" s="22">
        <f>16520+588.8</f>
        <v>17108.8</v>
      </c>
      <c r="C26" s="22">
        <v>95.7</v>
      </c>
      <c r="D26" s="22"/>
      <c r="E26" s="22"/>
      <c r="F26" s="22"/>
      <c r="G26" s="22"/>
      <c r="H26" s="22"/>
      <c r="I26" s="22"/>
      <c r="J26" s="26"/>
      <c r="K26" s="22"/>
      <c r="L26" s="22">
        <v>6965.8</v>
      </c>
      <c r="M26" s="22"/>
      <c r="N26" s="22"/>
      <c r="O26" s="27"/>
      <c r="P26" s="22"/>
      <c r="Q26" s="27"/>
      <c r="R26" s="22">
        <v>3</v>
      </c>
      <c r="S26" s="26"/>
      <c r="T26" s="26"/>
      <c r="U26" s="26"/>
      <c r="V26" s="26">
        <v>5278.9</v>
      </c>
      <c r="W26" s="26">
        <v>3995.6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16243.300000000001</v>
      </c>
      <c r="AG26" s="27">
        <f t="shared" si="3"/>
        <v>961.1999999999989</v>
      </c>
      <c r="AH26" s="6"/>
    </row>
    <row r="27" spans="1:33" ht="15.75">
      <c r="A27" s="3" t="s">
        <v>3</v>
      </c>
      <c r="B27" s="22">
        <f>1737+348+20</f>
        <v>2105</v>
      </c>
      <c r="C27" s="22">
        <v>2025.1</v>
      </c>
      <c r="D27" s="22">
        <v>1.1</v>
      </c>
      <c r="E27" s="22">
        <v>3</v>
      </c>
      <c r="F27" s="22"/>
      <c r="G27" s="22"/>
      <c r="H27" s="22"/>
      <c r="I27" s="22">
        <v>277.3</v>
      </c>
      <c r="J27" s="26"/>
      <c r="K27" s="22"/>
      <c r="L27" s="22"/>
      <c r="M27" s="22"/>
      <c r="N27" s="22">
        <v>263.6</v>
      </c>
      <c r="O27" s="27">
        <v>9.5</v>
      </c>
      <c r="P27" s="22">
        <v>247.8</v>
      </c>
      <c r="Q27" s="27">
        <v>39</v>
      </c>
      <c r="R27" s="22">
        <v>257.7</v>
      </c>
      <c r="S27" s="26">
        <v>357.6</v>
      </c>
      <c r="T27" s="26">
        <v>16.6</v>
      </c>
      <c r="U27" s="26"/>
      <c r="V27" s="26"/>
      <c r="W27" s="26">
        <v>213.8</v>
      </c>
      <c r="X27" s="22">
        <v>6.3</v>
      </c>
      <c r="Y27" s="26">
        <v>2.3</v>
      </c>
      <c r="Z27" s="26"/>
      <c r="AA27" s="26"/>
      <c r="AB27" s="22"/>
      <c r="AC27" s="22"/>
      <c r="AD27" s="22"/>
      <c r="AE27" s="22"/>
      <c r="AF27" s="27">
        <f t="shared" si="1"/>
        <v>1695.5999999999997</v>
      </c>
      <c r="AG27" s="27">
        <f t="shared" si="3"/>
        <v>2434.500000000001</v>
      </c>
    </row>
    <row r="28" spans="1:33" ht="15.75">
      <c r="A28" s="3" t="s">
        <v>1</v>
      </c>
      <c r="B28" s="22">
        <f>334.9+153</f>
        <v>487.9</v>
      </c>
      <c r="C28" s="22">
        <v>59.4</v>
      </c>
      <c r="D28" s="22">
        <v>23</v>
      </c>
      <c r="E28" s="22"/>
      <c r="F28" s="22"/>
      <c r="G28" s="22"/>
      <c r="H28" s="22"/>
      <c r="I28" s="22"/>
      <c r="J28" s="26"/>
      <c r="K28" s="22"/>
      <c r="L28" s="22"/>
      <c r="M28" s="22"/>
      <c r="N28" s="22">
        <v>176.1</v>
      </c>
      <c r="O28" s="27"/>
      <c r="P28" s="22">
        <v>16.8</v>
      </c>
      <c r="Q28" s="27"/>
      <c r="R28" s="22"/>
      <c r="S28" s="26">
        <v>117.5</v>
      </c>
      <c r="T28" s="26"/>
      <c r="U28" s="26"/>
      <c r="V28" s="26"/>
      <c r="W28" s="26">
        <v>127.9</v>
      </c>
      <c r="X28" s="22">
        <v>4.9</v>
      </c>
      <c r="Y28" s="26"/>
      <c r="Z28" s="26"/>
      <c r="AA28" s="26"/>
      <c r="AB28" s="22"/>
      <c r="AC28" s="22"/>
      <c r="AD28" s="22"/>
      <c r="AE28" s="22"/>
      <c r="AF28" s="27">
        <f t="shared" si="1"/>
        <v>466.19999999999993</v>
      </c>
      <c r="AG28" s="27">
        <f t="shared" si="3"/>
        <v>81.10000000000002</v>
      </c>
    </row>
    <row r="29" spans="1:33" ht="15.75">
      <c r="A29" s="3" t="s">
        <v>2</v>
      </c>
      <c r="B29" s="22">
        <f>1222.8+144.8-20-153-0.9</f>
        <v>1193.6999999999998</v>
      </c>
      <c r="C29" s="22">
        <v>1715.7</v>
      </c>
      <c r="D29" s="22"/>
      <c r="E29" s="22"/>
      <c r="F29" s="22"/>
      <c r="G29" s="22"/>
      <c r="H29" s="22"/>
      <c r="I29" s="22">
        <v>389.8</v>
      </c>
      <c r="J29" s="26">
        <v>0.6</v>
      </c>
      <c r="K29" s="22"/>
      <c r="L29" s="22"/>
      <c r="M29" s="22"/>
      <c r="N29" s="22">
        <v>59.7</v>
      </c>
      <c r="O29" s="27"/>
      <c r="P29" s="22">
        <v>2.8</v>
      </c>
      <c r="Q29" s="27"/>
      <c r="R29" s="22">
        <v>5.5</v>
      </c>
      <c r="S29" s="26">
        <v>357.8</v>
      </c>
      <c r="T29" s="26">
        <v>1.8</v>
      </c>
      <c r="U29" s="26"/>
      <c r="V29" s="26"/>
      <c r="W29" s="26">
        <v>25.1</v>
      </c>
      <c r="X29" s="22">
        <v>1.8</v>
      </c>
      <c r="Y29" s="26"/>
      <c r="Z29" s="26"/>
      <c r="AA29" s="26"/>
      <c r="AB29" s="22"/>
      <c r="AC29" s="22"/>
      <c r="AD29" s="22"/>
      <c r="AE29" s="22"/>
      <c r="AF29" s="27">
        <f t="shared" si="1"/>
        <v>844.9</v>
      </c>
      <c r="AG29" s="27">
        <f t="shared" si="3"/>
        <v>2064.4999999999995</v>
      </c>
    </row>
    <row r="30" spans="1:33" ht="15.75">
      <c r="A30" s="3" t="s">
        <v>17</v>
      </c>
      <c r="B30" s="22">
        <f>134+0.9</f>
        <v>134.9</v>
      </c>
      <c r="C30" s="22">
        <v>47.1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>
        <v>126.5</v>
      </c>
      <c r="O30" s="27"/>
      <c r="P30" s="22"/>
      <c r="Q30" s="27"/>
      <c r="R30" s="22"/>
      <c r="S30" s="26"/>
      <c r="T30" s="26"/>
      <c r="U30" s="26"/>
      <c r="V30" s="26"/>
      <c r="W30" s="26">
        <v>0.8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127.3</v>
      </c>
      <c r="AG30" s="27">
        <f t="shared" si="3"/>
        <v>54.7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2140.7999999999993</v>
      </c>
      <c r="C32" s="22">
        <f t="shared" si="5"/>
        <v>3412.2000000000003</v>
      </c>
      <c r="D32" s="22">
        <f t="shared" si="5"/>
        <v>60.7</v>
      </c>
      <c r="E32" s="22">
        <f t="shared" si="5"/>
        <v>0.20000000000000018</v>
      </c>
      <c r="F32" s="22">
        <f t="shared" si="5"/>
        <v>3.9</v>
      </c>
      <c r="G32" s="22">
        <f t="shared" si="5"/>
        <v>0</v>
      </c>
      <c r="H32" s="22">
        <f t="shared" si="5"/>
        <v>0</v>
      </c>
      <c r="I32" s="22">
        <f t="shared" si="5"/>
        <v>140.40000000000003</v>
      </c>
      <c r="J32" s="22">
        <f t="shared" si="5"/>
        <v>4.300000000000001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80.99999999999994</v>
      </c>
      <c r="O32" s="22">
        <f t="shared" si="5"/>
        <v>5.1</v>
      </c>
      <c r="P32" s="22">
        <f t="shared" si="5"/>
        <v>32.49999999999997</v>
      </c>
      <c r="Q32" s="22">
        <f t="shared" si="5"/>
        <v>0</v>
      </c>
      <c r="R32" s="22">
        <f t="shared" si="5"/>
        <v>89.90000000000003</v>
      </c>
      <c r="S32" s="22">
        <f t="shared" si="5"/>
        <v>72.69999999999999</v>
      </c>
      <c r="T32" s="22">
        <f t="shared" si="5"/>
        <v>-2.886579864025407E-15</v>
      </c>
      <c r="U32" s="22">
        <f t="shared" si="5"/>
        <v>0</v>
      </c>
      <c r="V32" s="22">
        <f t="shared" si="5"/>
        <v>0</v>
      </c>
      <c r="W32" s="22">
        <f t="shared" si="5"/>
        <v>117.40000000000045</v>
      </c>
      <c r="X32" s="22">
        <f t="shared" si="5"/>
        <v>-2.220446049250313E-16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608.1000000000005</v>
      </c>
      <c r="AG32" s="27">
        <f>AG24-AG26-AG27-AG28-AG29-AG30-AG31</f>
        <v>4944.900000000002</v>
      </c>
    </row>
    <row r="33" spans="1:33" ht="15" customHeight="1">
      <c r="A33" s="4" t="s">
        <v>8</v>
      </c>
      <c r="B33" s="22">
        <v>152.2</v>
      </c>
      <c r="C33" s="22">
        <v>3656.7</v>
      </c>
      <c r="D33" s="22"/>
      <c r="E33" s="22">
        <v>2</v>
      </c>
      <c r="F33" s="22"/>
      <c r="G33" s="22"/>
      <c r="H33" s="22"/>
      <c r="I33" s="22"/>
      <c r="J33" s="26"/>
      <c r="K33" s="22"/>
      <c r="L33" s="22">
        <v>307.4</v>
      </c>
      <c r="M33" s="22"/>
      <c r="N33" s="22"/>
      <c r="O33" s="27"/>
      <c r="P33" s="22">
        <v>46.6</v>
      </c>
      <c r="Q33" s="27"/>
      <c r="R33" s="22">
        <v>2.4</v>
      </c>
      <c r="S33" s="26"/>
      <c r="T33" s="26"/>
      <c r="U33" s="26"/>
      <c r="V33" s="26"/>
      <c r="W33" s="26">
        <v>84.1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442.5</v>
      </c>
      <c r="AG33" s="27">
        <f aca="true" t="shared" si="6" ref="AG33:AG38">B33+C33-AF33</f>
        <v>3366.3999999999996</v>
      </c>
    </row>
    <row r="34" spans="1:33" ht="15.75">
      <c r="A34" s="3" t="s">
        <v>5</v>
      </c>
      <c r="B34" s="22">
        <f>131.4+1.4</f>
        <v>132.8</v>
      </c>
      <c r="C34" s="22">
        <v>53</v>
      </c>
      <c r="D34" s="22"/>
      <c r="E34" s="22">
        <v>2</v>
      </c>
      <c r="F34" s="22"/>
      <c r="G34" s="22"/>
      <c r="H34" s="22"/>
      <c r="I34" s="22"/>
      <c r="J34" s="26"/>
      <c r="K34" s="22"/>
      <c r="L34" s="22">
        <v>54.7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>
        <v>84.1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140.8</v>
      </c>
      <c r="AG34" s="27">
        <f t="shared" si="6"/>
        <v>45</v>
      </c>
    </row>
    <row r="35" spans="1:33" ht="15.75">
      <c r="A35" s="3" t="s">
        <v>1</v>
      </c>
      <c r="B35" s="22">
        <v>0</v>
      </c>
      <c r="C35" s="22">
        <v>66.7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>
        <v>46.6</v>
      </c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46.6</v>
      </c>
      <c r="AG35" s="27">
        <f t="shared" si="6"/>
        <v>20.1</v>
      </c>
    </row>
    <row r="36" spans="1:33" ht="15.75">
      <c r="A36" s="3" t="s">
        <v>2</v>
      </c>
      <c r="B36" s="44">
        <f>4.3-1.4</f>
        <v>2.9</v>
      </c>
      <c r="C36" s="22">
        <v>170.7</v>
      </c>
      <c r="D36" s="22"/>
      <c r="E36" s="22"/>
      <c r="F36" s="22"/>
      <c r="G36" s="22"/>
      <c r="H36" s="22"/>
      <c r="I36" s="22"/>
      <c r="J36" s="26"/>
      <c r="K36" s="22"/>
      <c r="L36" s="22">
        <v>0.3</v>
      </c>
      <c r="M36" s="22"/>
      <c r="N36" s="22"/>
      <c r="O36" s="27"/>
      <c r="P36" s="22"/>
      <c r="Q36" s="27"/>
      <c r="R36" s="22">
        <v>2.2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2.5</v>
      </c>
      <c r="AG36" s="27">
        <f t="shared" si="6"/>
        <v>171.1</v>
      </c>
    </row>
    <row r="37" spans="1:33" ht="15.75">
      <c r="A37" s="3" t="s">
        <v>17</v>
      </c>
      <c r="B37" s="22">
        <v>0</v>
      </c>
      <c r="C37" s="22">
        <v>3331.4</v>
      </c>
      <c r="D37" s="22"/>
      <c r="E37" s="22"/>
      <c r="F37" s="22"/>
      <c r="G37" s="22"/>
      <c r="H37" s="22"/>
      <c r="I37" s="22"/>
      <c r="J37" s="26"/>
      <c r="K37" s="22"/>
      <c r="L37" s="22">
        <v>252</v>
      </c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252</v>
      </c>
      <c r="AG37" s="27">
        <f t="shared" si="6"/>
        <v>3079.4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16.49999999999998</v>
      </c>
      <c r="C39" s="22">
        <f t="shared" si="7"/>
        <v>34.899999999999906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0.39999999999997726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0.19999999999999973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0.599999999999977</v>
      </c>
      <c r="AG39" s="27">
        <f>AG33-AG34-AG36-AG38-AG35-AG37</f>
        <v>50.79999999999973</v>
      </c>
    </row>
    <row r="40" spans="1:33" ht="15" customHeight="1">
      <c r="A40" s="4" t="s">
        <v>33</v>
      </c>
      <c r="B40" s="22">
        <v>596.3</v>
      </c>
      <c r="C40" s="22">
        <v>118.7</v>
      </c>
      <c r="D40" s="22"/>
      <c r="E40" s="22"/>
      <c r="F40" s="22">
        <v>39</v>
      </c>
      <c r="G40" s="22">
        <v>18</v>
      </c>
      <c r="H40" s="22"/>
      <c r="I40" s="22"/>
      <c r="J40" s="26"/>
      <c r="K40" s="22">
        <v>185.4</v>
      </c>
      <c r="L40" s="22"/>
      <c r="M40" s="22"/>
      <c r="N40" s="22"/>
      <c r="O40" s="27">
        <v>5.5</v>
      </c>
      <c r="P40" s="22"/>
      <c r="Q40" s="27"/>
      <c r="R40" s="27"/>
      <c r="S40" s="26"/>
      <c r="T40" s="26"/>
      <c r="U40" s="26"/>
      <c r="V40" s="26">
        <v>5.1</v>
      </c>
      <c r="W40" s="26">
        <v>343.4</v>
      </c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596.4</v>
      </c>
      <c r="AG40" s="27">
        <f aca="true" t="shared" si="8" ref="AG40:AG45">B40+C40-AF40</f>
        <v>118.60000000000002</v>
      </c>
    </row>
    <row r="41" spans="1:34" ht="15.75">
      <c r="A41" s="3" t="s">
        <v>5</v>
      </c>
      <c r="B41" s="22">
        <v>561.4</v>
      </c>
      <c r="C41" s="22">
        <v>29.6</v>
      </c>
      <c r="D41" s="22"/>
      <c r="E41" s="22"/>
      <c r="F41" s="22">
        <v>38.6</v>
      </c>
      <c r="G41" s="22"/>
      <c r="H41" s="22"/>
      <c r="I41" s="22"/>
      <c r="J41" s="26"/>
      <c r="K41" s="22">
        <v>180.3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343.4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562.3</v>
      </c>
      <c r="AG41" s="27">
        <f t="shared" si="8"/>
        <v>28.700000000000045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0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1.7</v>
      </c>
    </row>
    <row r="44" spans="1:33" ht="15.75">
      <c r="A44" s="3" t="s">
        <v>2</v>
      </c>
      <c r="B44" s="22">
        <v>3.8</v>
      </c>
      <c r="C44" s="22">
        <v>30.3</v>
      </c>
      <c r="D44" s="22"/>
      <c r="E44" s="22"/>
      <c r="F44" s="22">
        <v>0.3</v>
      </c>
      <c r="G44" s="22">
        <v>0.5</v>
      </c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1.6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2.4000000000000004</v>
      </c>
      <c r="AG44" s="27">
        <f t="shared" si="8"/>
        <v>31.700000000000003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31.099999999999977</v>
      </c>
      <c r="C46" s="22">
        <f t="shared" si="10"/>
        <v>57.099999999999994</v>
      </c>
      <c r="D46" s="22">
        <f t="shared" si="10"/>
        <v>0</v>
      </c>
      <c r="E46" s="22">
        <f t="shared" si="10"/>
        <v>0</v>
      </c>
      <c r="F46" s="22">
        <f t="shared" si="10"/>
        <v>0.09999999999999859</v>
      </c>
      <c r="G46" s="22">
        <f t="shared" si="10"/>
        <v>17.5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5.099999999999994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5.5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3.4999999999999996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31.699999999999992</v>
      </c>
      <c r="AG46" s="27">
        <f>AG40-AG41-AG42-AG43-AG44-AG45</f>
        <v>56.49999999999997</v>
      </c>
    </row>
    <row r="47" spans="1:33" ht="17.25" customHeight="1">
      <c r="A47" s="4" t="s">
        <v>15</v>
      </c>
      <c r="B47" s="36">
        <f>769+75.5</f>
        <v>844.5</v>
      </c>
      <c r="C47" s="22">
        <v>1081.8</v>
      </c>
      <c r="D47" s="22">
        <v>6.7</v>
      </c>
      <c r="E47" s="28">
        <v>19.1</v>
      </c>
      <c r="F47" s="28">
        <v>6.9</v>
      </c>
      <c r="G47" s="28">
        <v>14.3</v>
      </c>
      <c r="H47" s="28">
        <v>173.1</v>
      </c>
      <c r="I47" s="28"/>
      <c r="J47" s="29">
        <v>2</v>
      </c>
      <c r="K47" s="28">
        <v>1</v>
      </c>
      <c r="L47" s="28"/>
      <c r="M47" s="28">
        <v>26.8</v>
      </c>
      <c r="N47" s="28"/>
      <c r="O47" s="31">
        <v>3</v>
      </c>
      <c r="P47" s="28"/>
      <c r="Q47" s="28">
        <v>35.2</v>
      </c>
      <c r="R47" s="28">
        <v>4</v>
      </c>
      <c r="S47" s="29"/>
      <c r="T47" s="29">
        <v>91.3</v>
      </c>
      <c r="U47" s="28"/>
      <c r="V47" s="28">
        <v>11.7</v>
      </c>
      <c r="W47" s="28">
        <v>29.4</v>
      </c>
      <c r="X47" s="28">
        <v>89.5</v>
      </c>
      <c r="Y47" s="29"/>
      <c r="Z47" s="29"/>
      <c r="AA47" s="29"/>
      <c r="AB47" s="28"/>
      <c r="AC47" s="28"/>
      <c r="AD47" s="28"/>
      <c r="AE47" s="28"/>
      <c r="AF47" s="27">
        <f t="shared" si="9"/>
        <v>514</v>
      </c>
      <c r="AG47" s="27">
        <f>B47+C47-AF47</f>
        <v>1412.3</v>
      </c>
    </row>
    <row r="48" spans="1:33" ht="15.75">
      <c r="A48" s="3" t="s">
        <v>5</v>
      </c>
      <c r="B48" s="22">
        <v>0</v>
      </c>
      <c r="C48" s="22">
        <v>39.4</v>
      </c>
      <c r="D48" s="22"/>
      <c r="E48" s="28"/>
      <c r="F48" s="28"/>
      <c r="G48" s="28"/>
      <c r="H48" s="28">
        <v>22.1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22.1</v>
      </c>
      <c r="AG48" s="27">
        <f>B48+C48-AF48</f>
        <v>17.299999999999997</v>
      </c>
    </row>
    <row r="49" spans="1:33" ht="15.75">
      <c r="A49" s="3" t="s">
        <v>17</v>
      </c>
      <c r="B49" s="22">
        <f>621.5+17.4</f>
        <v>638.9</v>
      </c>
      <c r="C49" s="22">
        <v>538.4</v>
      </c>
      <c r="D49" s="22"/>
      <c r="E49" s="22">
        <v>3.6</v>
      </c>
      <c r="F49" s="22"/>
      <c r="G49" s="22"/>
      <c r="H49" s="22">
        <v>150.5</v>
      </c>
      <c r="I49" s="22"/>
      <c r="J49" s="26"/>
      <c r="K49" s="22"/>
      <c r="L49" s="22"/>
      <c r="M49" s="22">
        <v>26.8</v>
      </c>
      <c r="N49" s="22"/>
      <c r="O49" s="27">
        <v>3</v>
      </c>
      <c r="P49" s="22"/>
      <c r="Q49" s="22">
        <v>25.9</v>
      </c>
      <c r="R49" s="22">
        <v>4</v>
      </c>
      <c r="S49" s="26"/>
      <c r="T49" s="26">
        <v>76</v>
      </c>
      <c r="U49" s="22"/>
      <c r="V49" s="22">
        <v>5</v>
      </c>
      <c r="W49" s="22">
        <v>4</v>
      </c>
      <c r="X49" s="22">
        <v>27.8</v>
      </c>
      <c r="Y49" s="26"/>
      <c r="Z49" s="26"/>
      <c r="AA49" s="26"/>
      <c r="AB49" s="22"/>
      <c r="AC49" s="22"/>
      <c r="AD49" s="22"/>
      <c r="AE49" s="22"/>
      <c r="AF49" s="27">
        <f t="shared" si="9"/>
        <v>326.6</v>
      </c>
      <c r="AG49" s="27">
        <f>B49+C49-AF49</f>
        <v>850.6999999999999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205.60000000000002</v>
      </c>
      <c r="C51" s="22">
        <f t="shared" si="11"/>
        <v>503.9999999999999</v>
      </c>
      <c r="D51" s="22">
        <f t="shared" si="11"/>
        <v>6.7</v>
      </c>
      <c r="E51" s="22">
        <f t="shared" si="11"/>
        <v>15.500000000000002</v>
      </c>
      <c r="F51" s="22">
        <f t="shared" si="11"/>
        <v>6.9</v>
      </c>
      <c r="G51" s="22">
        <f t="shared" si="11"/>
        <v>14.3</v>
      </c>
      <c r="H51" s="22">
        <f t="shared" si="11"/>
        <v>0.5</v>
      </c>
      <c r="I51" s="22">
        <f t="shared" si="11"/>
        <v>0</v>
      </c>
      <c r="J51" s="22">
        <f t="shared" si="11"/>
        <v>2</v>
      </c>
      <c r="K51" s="22">
        <f t="shared" si="11"/>
        <v>1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9.300000000000004</v>
      </c>
      <c r="R51" s="22">
        <f t="shared" si="11"/>
        <v>0</v>
      </c>
      <c r="S51" s="22">
        <f t="shared" si="11"/>
        <v>0</v>
      </c>
      <c r="T51" s="22">
        <f t="shared" si="11"/>
        <v>15.299999999999997</v>
      </c>
      <c r="U51" s="22">
        <f t="shared" si="11"/>
        <v>0</v>
      </c>
      <c r="V51" s="22">
        <f t="shared" si="11"/>
        <v>6.699999999999999</v>
      </c>
      <c r="W51" s="22">
        <f t="shared" si="11"/>
        <v>25.4</v>
      </c>
      <c r="X51" s="22">
        <f t="shared" si="11"/>
        <v>61.7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165.3</v>
      </c>
      <c r="AG51" s="27">
        <f>AG47-AG49-AG48</f>
        <v>544.3000000000001</v>
      </c>
    </row>
    <row r="52" spans="1:33" ht="15" customHeight="1">
      <c r="A52" s="4" t="s">
        <v>0</v>
      </c>
      <c r="B52" s="22">
        <f>4213.9+3744.2-2992+0.2</f>
        <v>4966.299999999999</v>
      </c>
      <c r="C52" s="22">
        <v>5313</v>
      </c>
      <c r="D52" s="22">
        <v>1678.2</v>
      </c>
      <c r="E52" s="22">
        <v>1087.5</v>
      </c>
      <c r="F52" s="22">
        <v>79.8</v>
      </c>
      <c r="G52" s="22">
        <v>4.1</v>
      </c>
      <c r="H52" s="22">
        <v>78.5</v>
      </c>
      <c r="I52" s="22">
        <v>165.7</v>
      </c>
      <c r="J52" s="26"/>
      <c r="K52" s="22"/>
      <c r="L52" s="22">
        <v>871.9</v>
      </c>
      <c r="M52" s="22"/>
      <c r="N52" s="22">
        <v>383.1</v>
      </c>
      <c r="O52" s="27"/>
      <c r="P52" s="22">
        <v>10.8</v>
      </c>
      <c r="Q52" s="22"/>
      <c r="R52" s="22">
        <v>20.6</v>
      </c>
      <c r="S52" s="26">
        <v>626.2</v>
      </c>
      <c r="T52" s="26">
        <v>52.1</v>
      </c>
      <c r="U52" s="26">
        <v>71.4</v>
      </c>
      <c r="V52" s="26">
        <v>30.8</v>
      </c>
      <c r="W52" s="26"/>
      <c r="X52" s="22">
        <v>590.2</v>
      </c>
      <c r="Y52" s="26"/>
      <c r="Z52" s="26"/>
      <c r="AA52" s="26"/>
      <c r="AB52" s="22"/>
      <c r="AC52" s="22"/>
      <c r="AD52" s="22"/>
      <c r="AE52" s="22"/>
      <c r="AF52" s="27">
        <f t="shared" si="9"/>
        <v>5750.900000000001</v>
      </c>
      <c r="AG52" s="27">
        <f aca="true" t="shared" si="12" ref="AG52:AG59">B52+C52-AF52</f>
        <v>4528.399999999999</v>
      </c>
    </row>
    <row r="53" spans="1:33" ht="15" customHeight="1">
      <c r="A53" s="3" t="s">
        <v>2</v>
      </c>
      <c r="B53" s="22">
        <f>369.5+400+30+8</f>
        <v>807.5</v>
      </c>
      <c r="C53" s="22">
        <v>87.1</v>
      </c>
      <c r="D53" s="22">
        <v>362.1</v>
      </c>
      <c r="E53" s="22"/>
      <c r="F53" s="22"/>
      <c r="G53" s="22">
        <v>4.1</v>
      </c>
      <c r="H53" s="22">
        <v>31.3</v>
      </c>
      <c r="I53" s="22"/>
      <c r="J53" s="26"/>
      <c r="K53" s="22"/>
      <c r="L53" s="22">
        <v>64.2</v>
      </c>
      <c r="M53" s="22"/>
      <c r="N53" s="22"/>
      <c r="O53" s="27"/>
      <c r="P53" s="22"/>
      <c r="Q53" s="22"/>
      <c r="R53" s="22">
        <v>20.6</v>
      </c>
      <c r="S53" s="26"/>
      <c r="T53" s="26"/>
      <c r="U53" s="26"/>
      <c r="V53" s="26"/>
      <c r="W53" s="26"/>
      <c r="X53" s="22">
        <v>78.1</v>
      </c>
      <c r="Y53" s="26"/>
      <c r="Z53" s="26"/>
      <c r="AA53" s="26"/>
      <c r="AB53" s="22"/>
      <c r="AC53" s="22"/>
      <c r="AD53" s="22"/>
      <c r="AE53" s="22"/>
      <c r="AF53" s="27">
        <f t="shared" si="9"/>
        <v>560.4000000000001</v>
      </c>
      <c r="AG53" s="27">
        <f t="shared" si="12"/>
        <v>334.19999999999993</v>
      </c>
    </row>
    <row r="54" spans="1:34" ht="15" customHeight="1">
      <c r="A54" s="4" t="s">
        <v>9</v>
      </c>
      <c r="B54" s="44">
        <f>2814.3-426+196.7-0.2</f>
        <v>2584.8</v>
      </c>
      <c r="C54" s="22">
        <v>2405</v>
      </c>
      <c r="D54" s="22"/>
      <c r="E54" s="22">
        <v>119.8</v>
      </c>
      <c r="F54" s="22"/>
      <c r="G54" s="22">
        <v>55.7</v>
      </c>
      <c r="H54" s="22">
        <v>503.4</v>
      </c>
      <c r="I54" s="22">
        <v>95.1</v>
      </c>
      <c r="J54" s="26"/>
      <c r="K54" s="22">
        <v>362.5</v>
      </c>
      <c r="L54" s="22">
        <v>0.1</v>
      </c>
      <c r="M54" s="22">
        <v>0.4</v>
      </c>
      <c r="N54" s="22">
        <v>10.4</v>
      </c>
      <c r="O54" s="27">
        <v>116</v>
      </c>
      <c r="P54" s="22">
        <v>10.7</v>
      </c>
      <c r="Q54" s="27"/>
      <c r="R54" s="22">
        <v>70.1</v>
      </c>
      <c r="S54" s="26"/>
      <c r="T54" s="26"/>
      <c r="U54" s="26">
        <v>52.4</v>
      </c>
      <c r="V54" s="26">
        <v>38.6</v>
      </c>
      <c r="W54" s="26">
        <v>1137.3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2572.5</v>
      </c>
      <c r="AG54" s="22">
        <f t="shared" si="12"/>
        <v>2417.3</v>
      </c>
      <c r="AH54" s="6"/>
    </row>
    <row r="55" spans="1:34" ht="15.75">
      <c r="A55" s="3" t="s">
        <v>5</v>
      </c>
      <c r="B55" s="22">
        <f>1798.3+172+196.6</f>
        <v>2166.9</v>
      </c>
      <c r="C55" s="22">
        <v>388</v>
      </c>
      <c r="D55" s="22"/>
      <c r="E55" s="22">
        <v>119.6</v>
      </c>
      <c r="F55" s="22"/>
      <c r="G55" s="22"/>
      <c r="H55" s="22">
        <v>19.5</v>
      </c>
      <c r="I55" s="22"/>
      <c r="J55" s="26"/>
      <c r="K55" s="22">
        <v>358.3</v>
      </c>
      <c r="L55" s="22"/>
      <c r="M55" s="22"/>
      <c r="N55" s="22"/>
      <c r="O55" s="27">
        <v>39</v>
      </c>
      <c r="P55" s="22"/>
      <c r="Q55" s="27"/>
      <c r="R55" s="22"/>
      <c r="S55" s="26"/>
      <c r="T55" s="26"/>
      <c r="U55" s="26"/>
      <c r="V55" s="26"/>
      <c r="W55" s="26">
        <v>1137.3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1673.6999999999998</v>
      </c>
      <c r="AG55" s="22">
        <f t="shared" si="12"/>
        <v>881.2000000000003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23.5</v>
      </c>
      <c r="C57" s="22">
        <v>610</v>
      </c>
      <c r="D57" s="22"/>
      <c r="E57" s="22">
        <v>0.2</v>
      </c>
      <c r="F57" s="22"/>
      <c r="G57" s="22">
        <v>1</v>
      </c>
      <c r="H57" s="22"/>
      <c r="I57" s="22">
        <v>0.1</v>
      </c>
      <c r="J57" s="26"/>
      <c r="K57" s="22">
        <v>1.5</v>
      </c>
      <c r="L57" s="22">
        <v>0.1</v>
      </c>
      <c r="M57" s="22"/>
      <c r="N57" s="22"/>
      <c r="O57" s="27"/>
      <c r="P57" s="22"/>
      <c r="Q57" s="27"/>
      <c r="R57" s="22">
        <v>1.7</v>
      </c>
      <c r="S57" s="26"/>
      <c r="T57" s="26"/>
      <c r="U57" s="26">
        <v>6.6</v>
      </c>
      <c r="V57" s="26">
        <v>0.5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11.7</v>
      </c>
      <c r="AG57" s="22">
        <f t="shared" si="12"/>
        <v>621.8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394.4000000000001</v>
      </c>
      <c r="C60" s="22">
        <f t="shared" si="13"/>
        <v>1407</v>
      </c>
      <c r="D60" s="22">
        <f t="shared" si="13"/>
        <v>0</v>
      </c>
      <c r="E60" s="22">
        <f t="shared" si="13"/>
        <v>2.831068712794149E-15</v>
      </c>
      <c r="F60" s="22">
        <f t="shared" si="13"/>
        <v>0</v>
      </c>
      <c r="G60" s="22">
        <f t="shared" si="13"/>
        <v>54.7</v>
      </c>
      <c r="H60" s="22">
        <f t="shared" si="13"/>
        <v>483.9</v>
      </c>
      <c r="I60" s="22">
        <f t="shared" si="13"/>
        <v>95</v>
      </c>
      <c r="J60" s="22">
        <f t="shared" si="13"/>
        <v>0</v>
      </c>
      <c r="K60" s="22">
        <f t="shared" si="13"/>
        <v>2.6999999999999886</v>
      </c>
      <c r="L60" s="22">
        <f t="shared" si="13"/>
        <v>0</v>
      </c>
      <c r="M60" s="22">
        <f t="shared" si="13"/>
        <v>0.4</v>
      </c>
      <c r="N60" s="22">
        <f t="shared" si="13"/>
        <v>10.4</v>
      </c>
      <c r="O60" s="22">
        <f t="shared" si="13"/>
        <v>77</v>
      </c>
      <c r="P60" s="22">
        <f t="shared" si="13"/>
        <v>10.7</v>
      </c>
      <c r="Q60" s="22">
        <f t="shared" si="13"/>
        <v>0</v>
      </c>
      <c r="R60" s="22">
        <f t="shared" si="13"/>
        <v>68.39999999999999</v>
      </c>
      <c r="S60" s="22">
        <f t="shared" si="13"/>
        <v>0</v>
      </c>
      <c r="T60" s="22">
        <f t="shared" si="13"/>
        <v>0</v>
      </c>
      <c r="U60" s="22">
        <f t="shared" si="13"/>
        <v>45.8</v>
      </c>
      <c r="V60" s="22">
        <f t="shared" si="13"/>
        <v>38.1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887.1000000000001</v>
      </c>
      <c r="AG60" s="22">
        <f>AG54-AG55-AG57-AG59-AG56-AG58</f>
        <v>914.3</v>
      </c>
    </row>
    <row r="61" spans="1:33" ht="15" customHeight="1">
      <c r="A61" s="4" t="s">
        <v>10</v>
      </c>
      <c r="B61" s="22">
        <f>44.4+128</f>
        <v>172.4</v>
      </c>
      <c r="C61" s="22">
        <v>68.7</v>
      </c>
      <c r="D61" s="22"/>
      <c r="E61" s="22">
        <v>13.7</v>
      </c>
      <c r="F61" s="22"/>
      <c r="G61" s="22"/>
      <c r="H61" s="22"/>
      <c r="I61" s="22"/>
      <c r="J61" s="26">
        <v>8</v>
      </c>
      <c r="K61" s="22"/>
      <c r="L61" s="22">
        <v>9.3</v>
      </c>
      <c r="M61" s="22"/>
      <c r="N61" s="22">
        <v>10.6</v>
      </c>
      <c r="O61" s="27"/>
      <c r="P61" s="22"/>
      <c r="Q61" s="27">
        <v>0.7</v>
      </c>
      <c r="R61" s="22"/>
      <c r="S61" s="26"/>
      <c r="T61" s="26"/>
      <c r="U61" s="26"/>
      <c r="V61" s="26">
        <v>8</v>
      </c>
      <c r="W61" s="26">
        <v>22.7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73</v>
      </c>
      <c r="AG61" s="22">
        <f aca="true" t="shared" si="15" ref="AG61:AG67">B61+C61-AF61</f>
        <v>168.10000000000002</v>
      </c>
    </row>
    <row r="62" spans="1:33" ht="15" customHeight="1">
      <c r="A62" s="4" t="s">
        <v>11</v>
      </c>
      <c r="B62" s="22">
        <v>908.3</v>
      </c>
      <c r="C62" s="22">
        <v>1890</v>
      </c>
      <c r="D62" s="22"/>
      <c r="E62" s="22"/>
      <c r="F62" s="22">
        <v>7</v>
      </c>
      <c r="G62" s="22"/>
      <c r="H62" s="22"/>
      <c r="I62" s="22"/>
      <c r="J62" s="26"/>
      <c r="K62" s="22">
        <v>169.4</v>
      </c>
      <c r="L62" s="22">
        <v>132.8</v>
      </c>
      <c r="M62" s="22"/>
      <c r="N62" s="22"/>
      <c r="O62" s="27"/>
      <c r="P62" s="22"/>
      <c r="Q62" s="27"/>
      <c r="R62" s="22">
        <v>32.5</v>
      </c>
      <c r="S62" s="26"/>
      <c r="T62" s="26"/>
      <c r="U62" s="26">
        <v>33.2</v>
      </c>
      <c r="V62" s="26"/>
      <c r="W62" s="26">
        <v>426.2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801.1</v>
      </c>
      <c r="AG62" s="22">
        <f t="shared" si="15"/>
        <v>1997.2000000000003</v>
      </c>
    </row>
    <row r="63" spans="1:34" ht="15.75">
      <c r="A63" s="3" t="s">
        <v>5</v>
      </c>
      <c r="B63" s="22">
        <v>622.8</v>
      </c>
      <c r="C63" s="22">
        <v>265.3</v>
      </c>
      <c r="D63" s="22"/>
      <c r="E63" s="22"/>
      <c r="F63" s="22"/>
      <c r="G63" s="22"/>
      <c r="H63" s="22"/>
      <c r="I63" s="22"/>
      <c r="J63" s="26"/>
      <c r="K63" s="22">
        <v>169.4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>
        <v>354.3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523.7</v>
      </c>
      <c r="AG63" s="22">
        <f t="shared" si="15"/>
        <v>364.39999999999986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15.5</v>
      </c>
      <c r="C65" s="22">
        <v>22.8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6.6</v>
      </c>
      <c r="V65" s="26"/>
      <c r="W65" s="26">
        <v>0.6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7.199999999999999</v>
      </c>
      <c r="AG65" s="22">
        <f t="shared" si="15"/>
        <v>31.099999999999998</v>
      </c>
      <c r="AH65" s="6"/>
    </row>
    <row r="66" spans="1:33" ht="15.75">
      <c r="A66" s="3" t="s">
        <v>2</v>
      </c>
      <c r="B66" s="22">
        <v>16.7</v>
      </c>
      <c r="C66" s="22">
        <v>205.6</v>
      </c>
      <c r="D66" s="22"/>
      <c r="E66" s="22"/>
      <c r="F66" s="22"/>
      <c r="G66" s="22"/>
      <c r="H66" s="22"/>
      <c r="I66" s="22"/>
      <c r="J66" s="26"/>
      <c r="K66" s="22"/>
      <c r="L66" s="22">
        <v>0.5</v>
      </c>
      <c r="M66" s="22"/>
      <c r="N66" s="22"/>
      <c r="O66" s="27"/>
      <c r="P66" s="22"/>
      <c r="Q66" s="22"/>
      <c r="R66" s="22">
        <v>1.1</v>
      </c>
      <c r="S66" s="26"/>
      <c r="T66" s="26"/>
      <c r="U66" s="26">
        <v>12.5</v>
      </c>
      <c r="V66" s="26"/>
      <c r="W66" s="26">
        <v>0.8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14.9</v>
      </c>
      <c r="AG66" s="22">
        <f t="shared" si="15"/>
        <v>207.39999999999998</v>
      </c>
    </row>
    <row r="67" spans="1:33" ht="15.75">
      <c r="A67" s="3" t="s">
        <v>17</v>
      </c>
      <c r="B67" s="22">
        <v>0</v>
      </c>
      <c r="C67" s="22">
        <v>120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80</v>
      </c>
    </row>
    <row r="68" spans="1:33" ht="15.75">
      <c r="A68" s="3" t="s">
        <v>26</v>
      </c>
      <c r="B68" s="22">
        <f aca="true" t="shared" si="16" ref="B68:AD68">B62-B63-B66-B67-B65-B64</f>
        <v>253.3</v>
      </c>
      <c r="C68" s="22">
        <f t="shared" si="16"/>
        <v>1276.3000000000002</v>
      </c>
      <c r="D68" s="22">
        <f t="shared" si="16"/>
        <v>0</v>
      </c>
      <c r="E68" s="22">
        <f t="shared" si="16"/>
        <v>0</v>
      </c>
      <c r="F68" s="22">
        <f t="shared" si="16"/>
        <v>7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92.30000000000001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31.4</v>
      </c>
      <c r="S68" s="22">
        <f t="shared" si="16"/>
        <v>0</v>
      </c>
      <c r="T68" s="22">
        <f t="shared" si="16"/>
        <v>0</v>
      </c>
      <c r="U68" s="22">
        <f t="shared" si="16"/>
        <v>14.100000000000003</v>
      </c>
      <c r="V68" s="22">
        <f t="shared" si="16"/>
        <v>0</v>
      </c>
      <c r="W68" s="22">
        <f t="shared" si="16"/>
        <v>70.49999999999999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215.3</v>
      </c>
      <c r="AG68" s="22">
        <f>AG62-AG63-AG66-AG67-AG65-AG64</f>
        <v>1314.3000000000006</v>
      </c>
    </row>
    <row r="69" spans="1:33" ht="31.5">
      <c r="A69" s="4" t="s">
        <v>32</v>
      </c>
      <c r="B69" s="22">
        <f>86.6+5109.4</f>
        <v>5196</v>
      </c>
      <c r="C69" s="22">
        <v>646.4</v>
      </c>
      <c r="D69" s="22"/>
      <c r="E69" s="22">
        <v>117.6</v>
      </c>
      <c r="F69" s="22"/>
      <c r="G69" s="22"/>
      <c r="H69" s="22"/>
      <c r="I69" s="22"/>
      <c r="J69" s="26"/>
      <c r="K69" s="22">
        <v>5542.8</v>
      </c>
      <c r="L69" s="22">
        <v>148.8</v>
      </c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5809.200000000001</v>
      </c>
      <c r="AG69" s="30">
        <f aca="true" t="shared" si="17" ref="AG69:AG92">B69+C69-AF69</f>
        <v>33.19999999999891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759.4-161-150-8-111+0.1</f>
        <v>329.5</v>
      </c>
      <c r="C72" s="22">
        <v>3243.7</v>
      </c>
      <c r="D72" s="22"/>
      <c r="E72" s="22">
        <v>51.9</v>
      </c>
      <c r="F72" s="22">
        <v>16.3</v>
      </c>
      <c r="G72" s="22">
        <v>3</v>
      </c>
      <c r="H72" s="22">
        <v>1.6</v>
      </c>
      <c r="I72" s="22"/>
      <c r="J72" s="26">
        <v>56.2</v>
      </c>
      <c r="K72" s="22">
        <v>1.3</v>
      </c>
      <c r="L72" s="22">
        <v>6.5</v>
      </c>
      <c r="M72" s="22">
        <v>21.4</v>
      </c>
      <c r="N72" s="22"/>
      <c r="O72" s="22">
        <v>2.6</v>
      </c>
      <c r="P72" s="22">
        <v>29.1</v>
      </c>
      <c r="Q72" s="27">
        <v>0.3</v>
      </c>
      <c r="R72" s="22">
        <v>4</v>
      </c>
      <c r="S72" s="26"/>
      <c r="T72" s="26">
        <v>1</v>
      </c>
      <c r="U72" s="26">
        <v>101.7</v>
      </c>
      <c r="V72" s="26">
        <v>10.1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307.00000000000006</v>
      </c>
      <c r="AG72" s="30">
        <f t="shared" si="17"/>
        <v>3266.2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50.8</v>
      </c>
      <c r="C74" s="22">
        <v>347</v>
      </c>
      <c r="D74" s="22"/>
      <c r="E74" s="22">
        <v>22.2</v>
      </c>
      <c r="F74" s="22"/>
      <c r="G74" s="22"/>
      <c r="H74" s="22"/>
      <c r="I74" s="22"/>
      <c r="J74" s="26"/>
      <c r="K74" s="22"/>
      <c r="L74" s="22"/>
      <c r="M74" s="22">
        <v>21.4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43.599999999999994</v>
      </c>
      <c r="AG74" s="30">
        <f t="shared" si="17"/>
        <v>354.20000000000005</v>
      </c>
    </row>
    <row r="75" spans="1:33" ht="15" customHeight="1">
      <c r="A75" s="3" t="s">
        <v>17</v>
      </c>
      <c r="B75" s="22">
        <v>81.4</v>
      </c>
      <c r="C75" s="22">
        <v>367.3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445.80000000000007</v>
      </c>
    </row>
    <row r="76" spans="1:33" s="11" customFormat="1" ht="31.5">
      <c r="A76" s="12" t="s">
        <v>21</v>
      </c>
      <c r="B76" s="22">
        <v>219.5</v>
      </c>
      <c r="C76" s="22">
        <v>271.4</v>
      </c>
      <c r="D76" s="22"/>
      <c r="E76" s="28"/>
      <c r="F76" s="28"/>
      <c r="G76" s="28"/>
      <c r="H76" s="28">
        <v>28.9</v>
      </c>
      <c r="I76" s="28"/>
      <c r="J76" s="29"/>
      <c r="K76" s="28"/>
      <c r="L76" s="28">
        <v>29.5</v>
      </c>
      <c r="M76" s="28"/>
      <c r="N76" s="28"/>
      <c r="O76" s="28"/>
      <c r="P76" s="28"/>
      <c r="Q76" s="31"/>
      <c r="R76" s="28"/>
      <c r="S76" s="29"/>
      <c r="T76" s="29"/>
      <c r="U76" s="28"/>
      <c r="V76" s="28">
        <v>0.1</v>
      </c>
      <c r="W76" s="28">
        <f>22.6+43.5</f>
        <v>66.1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124.6</v>
      </c>
      <c r="AG76" s="30">
        <f t="shared" si="17"/>
        <v>366.29999999999995</v>
      </c>
    </row>
    <row r="77" spans="1:33" s="11" customFormat="1" ht="15.75">
      <c r="A77" s="3" t="s">
        <v>5</v>
      </c>
      <c r="B77" s="22">
        <v>73.3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>
        <v>29.4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43.5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72.9</v>
      </c>
      <c r="AG77" s="30">
        <f t="shared" si="17"/>
        <v>0.3999999999999915</v>
      </c>
    </row>
    <row r="78" spans="1:33" s="11" customFormat="1" ht="15.75">
      <c r="A78" s="3" t="s">
        <v>3</v>
      </c>
      <c r="B78" s="22">
        <v>0</v>
      </c>
      <c r="C78" s="22">
        <v>22.6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>
        <v>22.6</v>
      </c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22.6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2479.6+420</f>
        <v>2899.6</v>
      </c>
      <c r="C89" s="22">
        <v>4644.6</v>
      </c>
      <c r="D89" s="22"/>
      <c r="E89" s="22">
        <v>1169.6</v>
      </c>
      <c r="F89" s="22"/>
      <c r="G89" s="22">
        <v>37.5</v>
      </c>
      <c r="H89" s="22"/>
      <c r="I89" s="22">
        <v>123.7</v>
      </c>
      <c r="J89" s="22">
        <v>418.9</v>
      </c>
      <c r="K89" s="22"/>
      <c r="L89" s="22">
        <v>483.2</v>
      </c>
      <c r="M89" s="22">
        <v>347.9</v>
      </c>
      <c r="N89" s="22"/>
      <c r="O89" s="22">
        <v>150</v>
      </c>
      <c r="P89" s="22"/>
      <c r="Q89" s="22"/>
      <c r="R89" s="22">
        <v>652.1</v>
      </c>
      <c r="S89" s="26">
        <v>33.4</v>
      </c>
      <c r="T89" s="26"/>
      <c r="U89" s="22"/>
      <c r="V89" s="22"/>
      <c r="W89" s="22"/>
      <c r="X89" s="26">
        <v>631.6</v>
      </c>
      <c r="Y89" s="26"/>
      <c r="Z89" s="26"/>
      <c r="AA89" s="26"/>
      <c r="AB89" s="22"/>
      <c r="AC89" s="22"/>
      <c r="AD89" s="22"/>
      <c r="AE89" s="22"/>
      <c r="AF89" s="27">
        <f t="shared" si="14"/>
        <v>4047.8999999999996</v>
      </c>
      <c r="AG89" s="22">
        <f t="shared" si="17"/>
        <v>3496.300000000001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426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426</v>
      </c>
      <c r="AH91" s="11"/>
    </row>
    <row r="92" spans="1:34" ht="15.75">
      <c r="A92" s="4" t="s">
        <v>44</v>
      </c>
      <c r="B92" s="22">
        <f>44751.3+24260.8+3000+613.8</f>
        <v>72625.90000000001</v>
      </c>
      <c r="C92" s="22">
        <v>7303.2</v>
      </c>
      <c r="D92" s="22">
        <v>8575.2</v>
      </c>
      <c r="E92" s="22">
        <v>1811.3</v>
      </c>
      <c r="F92" s="22">
        <v>2880.2</v>
      </c>
      <c r="G92" s="22">
        <v>1283.8</v>
      </c>
      <c r="H92" s="22">
        <v>2875.8</v>
      </c>
      <c r="I92" s="22">
        <v>7240.1</v>
      </c>
      <c r="J92" s="22">
        <v>4319.9</v>
      </c>
      <c r="K92" s="22"/>
      <c r="L92" s="22"/>
      <c r="M92" s="22">
        <v>1072</v>
      </c>
      <c r="N92" s="22">
        <v>2852.3</v>
      </c>
      <c r="O92" s="22">
        <v>4576.4</v>
      </c>
      <c r="P92" s="22">
        <v>3174.9</v>
      </c>
      <c r="Q92" s="22">
        <v>3455.8</v>
      </c>
      <c r="R92" s="22">
        <v>3838</v>
      </c>
      <c r="S92" s="26">
        <v>4679.9</v>
      </c>
      <c r="T92" s="26">
        <v>4321.5</v>
      </c>
      <c r="U92" s="22">
        <v>2318.8</v>
      </c>
      <c r="V92" s="22">
        <v>1595.1</v>
      </c>
      <c r="W92" s="22"/>
      <c r="X92" s="26">
        <v>5454.6</v>
      </c>
      <c r="Y92" s="26">
        <f>10494.7+53.8</f>
        <v>10548.5</v>
      </c>
      <c r="Z92" s="26"/>
      <c r="AA92" s="26"/>
      <c r="AB92" s="22"/>
      <c r="AC92" s="22"/>
      <c r="AD92" s="22"/>
      <c r="AE92" s="22"/>
      <c r="AF92" s="27">
        <f t="shared" si="14"/>
        <v>76874.10000000002</v>
      </c>
      <c r="AG92" s="22">
        <f t="shared" si="17"/>
        <v>3054.9999999999854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140225.60000000003</v>
      </c>
      <c r="C94" s="42">
        <f t="shared" si="18"/>
        <v>66166.99999999999</v>
      </c>
      <c r="D94" s="42">
        <f t="shared" si="18"/>
        <v>10391.1</v>
      </c>
      <c r="E94" s="42">
        <f t="shared" si="18"/>
        <v>4687.6</v>
      </c>
      <c r="F94" s="42">
        <f t="shared" si="18"/>
        <v>3055</v>
      </c>
      <c r="G94" s="42">
        <f t="shared" si="18"/>
        <v>1511</v>
      </c>
      <c r="H94" s="42">
        <f t="shared" si="18"/>
        <v>4222.200000000001</v>
      </c>
      <c r="I94" s="42">
        <f t="shared" si="18"/>
        <v>8506.300000000001</v>
      </c>
      <c r="J94" s="42">
        <f t="shared" si="18"/>
        <v>4972.099999999999</v>
      </c>
      <c r="K94" s="42">
        <f t="shared" si="18"/>
        <v>13465.099999999999</v>
      </c>
      <c r="L94" s="42">
        <f t="shared" si="18"/>
        <v>9870.9</v>
      </c>
      <c r="M94" s="42">
        <f t="shared" si="18"/>
        <v>1966.1</v>
      </c>
      <c r="N94" s="42">
        <f t="shared" si="18"/>
        <v>4209.5</v>
      </c>
      <c r="O94" s="42">
        <f t="shared" si="18"/>
        <v>4901.099999999999</v>
      </c>
      <c r="P94" s="42">
        <f t="shared" si="18"/>
        <v>3991.1000000000004</v>
      </c>
      <c r="Q94" s="42">
        <f t="shared" si="18"/>
        <v>3721.7000000000003</v>
      </c>
      <c r="R94" s="42">
        <f t="shared" si="18"/>
        <v>6056.8</v>
      </c>
      <c r="S94" s="42">
        <f t="shared" si="18"/>
        <v>6620.4</v>
      </c>
      <c r="T94" s="42">
        <f t="shared" si="18"/>
        <v>4563.4</v>
      </c>
      <c r="U94" s="42">
        <f t="shared" si="18"/>
        <v>8192.4</v>
      </c>
      <c r="V94" s="42">
        <f t="shared" si="18"/>
        <v>7440.200000000001</v>
      </c>
      <c r="W94" s="42">
        <f t="shared" si="18"/>
        <v>12423.1</v>
      </c>
      <c r="X94" s="42">
        <f t="shared" si="18"/>
        <v>7862.800000000001</v>
      </c>
      <c r="Y94" s="42">
        <f t="shared" si="18"/>
        <v>11356.6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143986.5</v>
      </c>
      <c r="AG94" s="58">
        <f>AG10+AG15+AG24+AG33+AG47+AG52+AG54+AG61+AG62+AG69+AG71+AG72+AG76+AG81+AG82+AG83+AG88+AG89+AG90+AG91+AG70+AG40+AG92</f>
        <v>62406.099999999984</v>
      </c>
    </row>
    <row r="95" spans="1:33" ht="15.75">
      <c r="A95" s="3" t="s">
        <v>5</v>
      </c>
      <c r="B95" s="22">
        <f aca="true" t="shared" si="19" ref="B95:AD95">B11+B17+B26+B34+B55+B63+B73+B41+B77+B48</f>
        <v>39279.90000000001</v>
      </c>
      <c r="C95" s="22">
        <f t="shared" si="19"/>
        <v>5687.8</v>
      </c>
      <c r="D95" s="22">
        <f t="shared" si="19"/>
        <v>46.2</v>
      </c>
      <c r="E95" s="22">
        <f t="shared" si="19"/>
        <v>224.5</v>
      </c>
      <c r="F95" s="22">
        <f t="shared" si="19"/>
        <v>41.6</v>
      </c>
      <c r="G95" s="22">
        <f t="shared" si="19"/>
        <v>0</v>
      </c>
      <c r="H95" s="22">
        <f t="shared" si="19"/>
        <v>81.5</v>
      </c>
      <c r="I95" s="22">
        <f t="shared" si="19"/>
        <v>0</v>
      </c>
      <c r="J95" s="22">
        <f t="shared" si="19"/>
        <v>149.5</v>
      </c>
      <c r="K95" s="22">
        <f t="shared" si="19"/>
        <v>6949.5</v>
      </c>
      <c r="L95" s="22">
        <f t="shared" si="19"/>
        <v>7954.799999999999</v>
      </c>
      <c r="M95" s="22">
        <f t="shared" si="19"/>
        <v>159.8</v>
      </c>
      <c r="N95" s="22">
        <f t="shared" si="19"/>
        <v>0</v>
      </c>
      <c r="O95" s="22">
        <f t="shared" si="19"/>
        <v>39</v>
      </c>
      <c r="P95" s="22">
        <f t="shared" si="19"/>
        <v>0</v>
      </c>
      <c r="Q95" s="22">
        <f t="shared" si="19"/>
        <v>3.4</v>
      </c>
      <c r="R95" s="22">
        <f t="shared" si="19"/>
        <v>3</v>
      </c>
      <c r="S95" s="22">
        <f t="shared" si="19"/>
        <v>0</v>
      </c>
      <c r="T95" s="22">
        <f t="shared" si="19"/>
        <v>0</v>
      </c>
      <c r="U95" s="22">
        <f t="shared" si="19"/>
        <v>5269.5</v>
      </c>
      <c r="V95" s="22">
        <f t="shared" si="19"/>
        <v>5613.5</v>
      </c>
      <c r="W95" s="22">
        <f t="shared" si="19"/>
        <v>11681.699999999999</v>
      </c>
      <c r="X95" s="22">
        <f t="shared" si="19"/>
        <v>921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39138.49999999999</v>
      </c>
      <c r="AG95" s="27">
        <f>B95+C95-AF95</f>
        <v>5829.200000000019</v>
      </c>
    </row>
    <row r="96" spans="1:33" ht="15.75">
      <c r="A96" s="3" t="s">
        <v>2</v>
      </c>
      <c r="B96" s="22">
        <f aca="true" t="shared" si="20" ref="B96:AD96">B12+B20+B29+B36+B57+B66+B44+B80+B74+B53</f>
        <v>2896.8999999999996</v>
      </c>
      <c r="C96" s="22">
        <f t="shared" si="20"/>
        <v>17425</v>
      </c>
      <c r="D96" s="22">
        <f t="shared" si="20"/>
        <v>362.1</v>
      </c>
      <c r="E96" s="22">
        <f t="shared" si="20"/>
        <v>26.4</v>
      </c>
      <c r="F96" s="22">
        <f t="shared" si="20"/>
        <v>0.3</v>
      </c>
      <c r="G96" s="22">
        <f t="shared" si="20"/>
        <v>41.2</v>
      </c>
      <c r="H96" s="22">
        <f t="shared" si="20"/>
        <v>51.5</v>
      </c>
      <c r="I96" s="22">
        <f t="shared" si="20"/>
        <v>389.90000000000003</v>
      </c>
      <c r="J96" s="22">
        <f t="shared" si="20"/>
        <v>0.6</v>
      </c>
      <c r="K96" s="22">
        <f t="shared" si="20"/>
        <v>1.5</v>
      </c>
      <c r="L96" s="22">
        <f t="shared" si="20"/>
        <v>65.10000000000001</v>
      </c>
      <c r="M96" s="22">
        <f t="shared" si="20"/>
        <v>63.3</v>
      </c>
      <c r="N96" s="22">
        <f t="shared" si="20"/>
        <v>63.1</v>
      </c>
      <c r="O96" s="22">
        <f t="shared" si="20"/>
        <v>0</v>
      </c>
      <c r="P96" s="22">
        <f t="shared" si="20"/>
        <v>58.3</v>
      </c>
      <c r="Q96" s="22">
        <f t="shared" si="20"/>
        <v>2</v>
      </c>
      <c r="R96" s="22">
        <f t="shared" si="20"/>
        <v>80.10000000000001</v>
      </c>
      <c r="S96" s="22">
        <f t="shared" si="20"/>
        <v>513.6</v>
      </c>
      <c r="T96" s="22">
        <f t="shared" si="20"/>
        <v>17.4</v>
      </c>
      <c r="U96" s="22">
        <f t="shared" si="20"/>
        <v>34</v>
      </c>
      <c r="V96" s="22">
        <f t="shared" si="20"/>
        <v>40.1</v>
      </c>
      <c r="W96" s="22">
        <f t="shared" si="20"/>
        <v>108.2</v>
      </c>
      <c r="X96" s="22">
        <f t="shared" si="20"/>
        <v>121.39999999999999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2040.1000000000001</v>
      </c>
      <c r="AG96" s="27">
        <f>B96+C96-AF96</f>
        <v>18281.800000000003</v>
      </c>
    </row>
    <row r="97" spans="1:33" ht="15.75">
      <c r="A97" s="3" t="s">
        <v>3</v>
      </c>
      <c r="B97" s="22">
        <f aca="true" t="shared" si="21" ref="B97:AA97">B18+B27+B42+B64+B78</f>
        <v>2105.8</v>
      </c>
      <c r="C97" s="22">
        <f t="shared" si="21"/>
        <v>2064.2999999999997</v>
      </c>
      <c r="D97" s="22">
        <f t="shared" si="21"/>
        <v>1.1</v>
      </c>
      <c r="E97" s="22">
        <f t="shared" si="21"/>
        <v>3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277.3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263.6</v>
      </c>
      <c r="O97" s="22">
        <f t="shared" si="21"/>
        <v>9.5</v>
      </c>
      <c r="P97" s="22">
        <f t="shared" si="21"/>
        <v>247.8</v>
      </c>
      <c r="Q97" s="22">
        <f t="shared" si="21"/>
        <v>39</v>
      </c>
      <c r="R97" s="22">
        <f t="shared" si="21"/>
        <v>257.7</v>
      </c>
      <c r="S97" s="22">
        <f t="shared" si="21"/>
        <v>357.6</v>
      </c>
      <c r="T97" s="22">
        <f t="shared" si="21"/>
        <v>16.6</v>
      </c>
      <c r="U97" s="22">
        <f t="shared" si="21"/>
        <v>0</v>
      </c>
      <c r="V97" s="22">
        <f t="shared" si="21"/>
        <v>0.4</v>
      </c>
      <c r="W97" s="22">
        <f t="shared" si="21"/>
        <v>236.4</v>
      </c>
      <c r="X97" s="22">
        <f t="shared" si="21"/>
        <v>6.3</v>
      </c>
      <c r="Y97" s="22">
        <f t="shared" si="21"/>
        <v>2.3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1718.6</v>
      </c>
      <c r="AG97" s="27">
        <f>B97+C97-AF97</f>
        <v>2451.5000000000005</v>
      </c>
    </row>
    <row r="98" spans="1:33" ht="15.75">
      <c r="A98" s="3" t="s">
        <v>1</v>
      </c>
      <c r="B98" s="22">
        <f aca="true" t="shared" si="22" ref="B98:AD98">B19+B28+B65+B35+B43+B56+B79</f>
        <v>1549.4</v>
      </c>
      <c r="C98" s="22">
        <f t="shared" si="22"/>
        <v>3787.2999999999997</v>
      </c>
      <c r="D98" s="22">
        <f t="shared" si="22"/>
        <v>23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164.5</v>
      </c>
      <c r="I98" s="22">
        <f t="shared" si="22"/>
        <v>50.6</v>
      </c>
      <c r="J98" s="22">
        <f t="shared" si="22"/>
        <v>0</v>
      </c>
      <c r="K98" s="22">
        <f t="shared" si="22"/>
        <v>31</v>
      </c>
      <c r="L98" s="22">
        <f t="shared" si="22"/>
        <v>0</v>
      </c>
      <c r="M98" s="22">
        <f t="shared" si="22"/>
        <v>89</v>
      </c>
      <c r="N98" s="22">
        <f t="shared" si="22"/>
        <v>249.6</v>
      </c>
      <c r="O98" s="22">
        <f t="shared" si="22"/>
        <v>23.5</v>
      </c>
      <c r="P98" s="22">
        <f t="shared" si="22"/>
        <v>87.6</v>
      </c>
      <c r="Q98" s="22">
        <f t="shared" si="22"/>
        <v>171.8</v>
      </c>
      <c r="R98" s="22">
        <f t="shared" si="22"/>
        <v>146.2</v>
      </c>
      <c r="S98" s="22">
        <f t="shared" si="22"/>
        <v>141.3</v>
      </c>
      <c r="T98" s="22">
        <f t="shared" si="22"/>
        <v>0</v>
      </c>
      <c r="U98" s="22">
        <f t="shared" si="22"/>
        <v>269.1</v>
      </c>
      <c r="V98" s="22">
        <f t="shared" si="22"/>
        <v>0</v>
      </c>
      <c r="W98" s="22">
        <f t="shared" si="22"/>
        <v>128.5</v>
      </c>
      <c r="X98" s="22">
        <f t="shared" si="22"/>
        <v>4.9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1580.6000000000004</v>
      </c>
      <c r="AG98" s="27">
        <f>B98+C98-AF98</f>
        <v>3756.0999999999995</v>
      </c>
    </row>
    <row r="99" spans="1:33" ht="15.75">
      <c r="A99" s="3" t="s">
        <v>17</v>
      </c>
      <c r="B99" s="22">
        <f aca="true" t="shared" si="23" ref="B99:X99">B21+B30+B49+B37+B58+B13+B75+B67</f>
        <v>1674.6</v>
      </c>
      <c r="C99" s="22">
        <f t="shared" si="23"/>
        <v>5137.7</v>
      </c>
      <c r="D99" s="22">
        <f t="shared" si="23"/>
        <v>0</v>
      </c>
      <c r="E99" s="22">
        <f t="shared" si="23"/>
        <v>55.800000000000004</v>
      </c>
      <c r="F99" s="22">
        <f t="shared" si="23"/>
        <v>0</v>
      </c>
      <c r="G99" s="22">
        <f t="shared" si="23"/>
        <v>0</v>
      </c>
      <c r="H99" s="22">
        <f t="shared" si="23"/>
        <v>159.2</v>
      </c>
      <c r="I99" s="22">
        <f t="shared" si="23"/>
        <v>0</v>
      </c>
      <c r="J99" s="22">
        <f t="shared" si="23"/>
        <v>0</v>
      </c>
      <c r="K99" s="22">
        <f t="shared" si="23"/>
        <v>103.4</v>
      </c>
      <c r="L99" s="22">
        <f t="shared" si="23"/>
        <v>292</v>
      </c>
      <c r="M99" s="22">
        <f t="shared" si="23"/>
        <v>159.60000000000002</v>
      </c>
      <c r="N99" s="22">
        <f t="shared" si="23"/>
        <v>126.5</v>
      </c>
      <c r="O99" s="22">
        <f t="shared" si="23"/>
        <v>3</v>
      </c>
      <c r="P99" s="22">
        <f t="shared" si="23"/>
        <v>254.3</v>
      </c>
      <c r="Q99" s="22">
        <f t="shared" si="23"/>
        <v>25.9</v>
      </c>
      <c r="R99" s="22">
        <f t="shared" si="23"/>
        <v>4</v>
      </c>
      <c r="S99" s="22">
        <f t="shared" si="23"/>
        <v>130.9</v>
      </c>
      <c r="T99" s="22">
        <f t="shared" si="23"/>
        <v>76</v>
      </c>
      <c r="U99" s="22">
        <f t="shared" si="23"/>
        <v>0</v>
      </c>
      <c r="V99" s="22">
        <f t="shared" si="23"/>
        <v>7.9</v>
      </c>
      <c r="W99" s="22">
        <f t="shared" si="23"/>
        <v>4.8</v>
      </c>
      <c r="X99" s="22">
        <f t="shared" si="23"/>
        <v>45.2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1448.5000000000002</v>
      </c>
      <c r="AG99" s="27">
        <f>B99+C99-AF99</f>
        <v>5363.799999999999</v>
      </c>
    </row>
    <row r="100" spans="1:33" ht="12.75">
      <c r="A100" s="1" t="s">
        <v>41</v>
      </c>
      <c r="B100" s="2">
        <f aca="true" t="shared" si="25" ref="B100:AD100">B94-B95-B96-B97-B98-B99</f>
        <v>92719.00000000003</v>
      </c>
      <c r="C100" s="2">
        <f t="shared" si="25"/>
        <v>32064.899999999976</v>
      </c>
      <c r="D100" s="2">
        <f t="shared" si="25"/>
        <v>9958.699999999999</v>
      </c>
      <c r="E100" s="2">
        <f t="shared" si="25"/>
        <v>4377.900000000001</v>
      </c>
      <c r="F100" s="2">
        <f t="shared" si="25"/>
        <v>3013.1</v>
      </c>
      <c r="G100" s="2">
        <f t="shared" si="25"/>
        <v>1469.8</v>
      </c>
      <c r="H100" s="2">
        <f t="shared" si="25"/>
        <v>3765.500000000001</v>
      </c>
      <c r="I100" s="2">
        <f t="shared" si="25"/>
        <v>7788.500000000001</v>
      </c>
      <c r="J100" s="2">
        <f t="shared" si="25"/>
        <v>4821.999999999999</v>
      </c>
      <c r="K100" s="2">
        <f t="shared" si="25"/>
        <v>6379.699999999999</v>
      </c>
      <c r="L100" s="2">
        <f t="shared" si="25"/>
        <v>1559.0000000000005</v>
      </c>
      <c r="M100" s="2">
        <f t="shared" si="25"/>
        <v>1494.4</v>
      </c>
      <c r="N100" s="2">
        <f t="shared" si="25"/>
        <v>3506.7</v>
      </c>
      <c r="O100" s="2">
        <f t="shared" si="25"/>
        <v>4826.099999999999</v>
      </c>
      <c r="P100" s="2">
        <f t="shared" si="25"/>
        <v>3343.1</v>
      </c>
      <c r="Q100" s="2">
        <f t="shared" si="25"/>
        <v>3479.6</v>
      </c>
      <c r="R100" s="2">
        <f t="shared" si="25"/>
        <v>5565.8</v>
      </c>
      <c r="S100" s="2">
        <f t="shared" si="25"/>
        <v>5476.999999999999</v>
      </c>
      <c r="T100" s="2">
        <f t="shared" si="25"/>
        <v>4453.4</v>
      </c>
      <c r="U100" s="2">
        <f t="shared" si="25"/>
        <v>2619.7999999999997</v>
      </c>
      <c r="V100" s="2">
        <f t="shared" si="25"/>
        <v>1778.3000000000006</v>
      </c>
      <c r="W100" s="2">
        <f t="shared" si="25"/>
        <v>263.5000000000014</v>
      </c>
      <c r="X100" s="2">
        <f t="shared" si="25"/>
        <v>6764.000000000002</v>
      </c>
      <c r="Y100" s="2">
        <f t="shared" si="25"/>
        <v>11354.300000000001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98060.19999999998</v>
      </c>
      <c r="AG100" s="2">
        <f>AG94-AG95-AG96-AG97-AG98-AG99</f>
        <v>26723.699999999964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2016-10-27T10:51:51Z</cp:lastPrinted>
  <dcterms:created xsi:type="dcterms:W3CDTF">2002-11-05T08:53:00Z</dcterms:created>
  <dcterms:modified xsi:type="dcterms:W3CDTF">2016-10-31T06:05:50Z</dcterms:modified>
  <cp:category/>
  <cp:version/>
  <cp:contentType/>
  <cp:contentStatus/>
</cp:coreProperties>
</file>